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fbca3530b6f5ace/Documents/PROJECTS/WESTERN CAPE/WEST COAST/INVESTMENT DOCS/"/>
    </mc:Choice>
  </mc:AlternateContent>
  <xr:revisionPtr revIDLastSave="0" documentId="11_AF33AD5DEF177161CBD6D37325EBFBBF94CCE026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ability Summary" sheetId="1" r:id="rId1"/>
    <sheet name="Profitability Case" sheetId="2" r:id="rId2"/>
    <sheet name="ROI &amp; Investor Returns" sheetId="3" r:id="rId3"/>
    <sheet name="Dashboard" sheetId="4" r:id="rId4"/>
    <sheet name="CAPEX" sheetId="5" r:id="rId5"/>
    <sheet name="Inputs" sheetId="6" r:id="rId6"/>
    <sheet name="Scenarios" sheetId="7" r:id="rId7"/>
    <sheet name="CAPEX1" sheetId="8" r:id="rId8"/>
    <sheet name="Operations" sheetId="9" r:id="rId9"/>
    <sheet name="Project Cash Flow" sheetId="10" r:id="rId10"/>
    <sheet name="Financing" sheetId="11" r:id="rId11"/>
    <sheet name="Returns &amp; Metrics" sheetId="12" r:id="rId12"/>
    <sheet name="Sources &amp; Uses" sheetId="13" r:id="rId13"/>
    <sheet name="Sensitivity" sheetId="14" r:id="rId14"/>
    <sheet name="Model Checks" sheetId="15" r:id="rId15"/>
    <sheet name="Model Guide" sheetId="16" r:id="rId16"/>
    <sheet name="Bankability CF" sheetId="17" r:id="rId17"/>
    <sheet name="Debt Service" sheetId="18" r:id="rId18"/>
    <sheet name="Credit Metrics" sheetId="19" r:id="rId19"/>
    <sheet name="Scenario Analysis" sheetId="20" r:id="rId20"/>
    <sheet name="Sensitivity Matrix" sheetId="21" r:id="rId21"/>
    <sheet name="Governance Organogram" sheetId="22" r:id="rId22"/>
    <sheet name="Section 9 Source Structure" sheetId="23" r:id="rId23"/>
  </sheets>
  <definedNames>
    <definedName name="_xlnm.Print_Area" localSheetId="21">'Governance Organogram'!$A$1:$Q$32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20" l="1"/>
  <c r="C9" i="20"/>
  <c r="B9" i="20"/>
  <c r="D8" i="20"/>
  <c r="C8" i="20"/>
  <c r="B8" i="20"/>
  <c r="D7" i="20"/>
  <c r="C7" i="20"/>
  <c r="B7" i="20"/>
  <c r="D6" i="20"/>
  <c r="C6" i="20"/>
  <c r="B6" i="20"/>
  <c r="D5" i="20"/>
  <c r="C5" i="20"/>
  <c r="B5" i="20"/>
  <c r="B6" i="19"/>
  <c r="B5" i="19"/>
  <c r="H14" i="18"/>
  <c r="H15" i="18" s="1"/>
  <c r="E13" i="18"/>
  <c r="I11" i="18"/>
  <c r="H11" i="18"/>
  <c r="G11" i="18"/>
  <c r="G22" i="17" s="1"/>
  <c r="F11" i="18"/>
  <c r="E11" i="18"/>
  <c r="E22" i="17" s="1"/>
  <c r="D11" i="18"/>
  <c r="C11" i="18"/>
  <c r="B11" i="18"/>
  <c r="I10" i="18"/>
  <c r="I13" i="18" s="1"/>
  <c r="I23" i="17" s="1"/>
  <c r="I26" i="17" s="1"/>
  <c r="H10" i="18"/>
  <c r="H13" i="18" s="1"/>
  <c r="H23" i="17" s="1"/>
  <c r="H26" i="17" s="1"/>
  <c r="G10" i="18"/>
  <c r="G13" i="18" s="1"/>
  <c r="G23" i="17" s="1"/>
  <c r="G26" i="17" s="1"/>
  <c r="F10" i="18"/>
  <c r="F14" i="18" s="1"/>
  <c r="E10" i="18"/>
  <c r="E14" i="18" s="1"/>
  <c r="D10" i="18"/>
  <c r="D21" i="17" s="1"/>
  <c r="C10" i="18"/>
  <c r="C13" i="18" s="1"/>
  <c r="C23" i="17" s="1"/>
  <c r="C26" i="17" s="1"/>
  <c r="B10" i="18"/>
  <c r="B13" i="18" s="1"/>
  <c r="B23" i="17" s="1"/>
  <c r="B26" i="17" s="1"/>
  <c r="V9" i="18"/>
  <c r="U9" i="18"/>
  <c r="T9" i="18"/>
  <c r="S9" i="18"/>
  <c r="R9" i="18"/>
  <c r="Q9" i="18"/>
  <c r="P9" i="18"/>
  <c r="O9" i="18"/>
  <c r="N9" i="18"/>
  <c r="M9" i="18"/>
  <c r="L9" i="18"/>
  <c r="K9" i="18"/>
  <c r="J9" i="18"/>
  <c r="B7" i="18"/>
  <c r="B6" i="18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28" i="17"/>
  <c r="E23" i="17"/>
  <c r="E26" i="17" s="1"/>
  <c r="I22" i="17"/>
  <c r="H22" i="17"/>
  <c r="F22" i="17"/>
  <c r="D22" i="17"/>
  <c r="C22" i="17"/>
  <c r="B22" i="17"/>
  <c r="I21" i="17"/>
  <c r="H21" i="17"/>
  <c r="G21" i="17"/>
  <c r="F21" i="17"/>
  <c r="E21" i="17"/>
  <c r="C21" i="17"/>
  <c r="B20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B12" i="17"/>
  <c r="B11" i="17"/>
  <c r="B13" i="17" s="1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B9" i="17"/>
  <c r="V8" i="17"/>
  <c r="U8" i="17"/>
  <c r="U10" i="17" s="1"/>
  <c r="T8" i="17"/>
  <c r="S8" i="17"/>
  <c r="R8" i="17"/>
  <c r="Q8" i="17"/>
  <c r="P8" i="17"/>
  <c r="O8" i="17"/>
  <c r="N8" i="17"/>
  <c r="M8" i="17"/>
  <c r="M10" i="17" s="1"/>
  <c r="L8" i="17"/>
  <c r="K8" i="17"/>
  <c r="J8" i="17"/>
  <c r="I8" i="17"/>
  <c r="H8" i="17"/>
  <c r="G8" i="17"/>
  <c r="F8" i="17"/>
  <c r="E8" i="17"/>
  <c r="E10" i="17" s="1"/>
  <c r="D8" i="17"/>
  <c r="C8" i="17"/>
  <c r="B8" i="17"/>
  <c r="V7" i="17"/>
  <c r="U7" i="17"/>
  <c r="T7" i="17"/>
  <c r="S7" i="17"/>
  <c r="S10" i="17" s="1"/>
  <c r="R7" i="17"/>
  <c r="Q7" i="17"/>
  <c r="P7" i="17"/>
  <c r="O7" i="17"/>
  <c r="N7" i="17"/>
  <c r="M7" i="17"/>
  <c r="L7" i="17"/>
  <c r="K7" i="17"/>
  <c r="K10" i="17" s="1"/>
  <c r="J7" i="17"/>
  <c r="I7" i="17"/>
  <c r="H7" i="17"/>
  <c r="G7" i="17"/>
  <c r="F7" i="17"/>
  <c r="E7" i="17"/>
  <c r="D7" i="17"/>
  <c r="C7" i="17"/>
  <c r="C10" i="17" s="1"/>
  <c r="B7" i="17"/>
  <c r="V6" i="17"/>
  <c r="V10" i="17" s="1"/>
  <c r="U6" i="17"/>
  <c r="T6" i="17"/>
  <c r="T10" i="17" s="1"/>
  <c r="S6" i="17"/>
  <c r="R6" i="17"/>
  <c r="Q6" i="17"/>
  <c r="Q10" i="17" s="1"/>
  <c r="P6" i="17"/>
  <c r="O6" i="17"/>
  <c r="N6" i="17"/>
  <c r="N10" i="17" s="1"/>
  <c r="M6" i="17"/>
  <c r="L6" i="17"/>
  <c r="L10" i="17" s="1"/>
  <c r="K6" i="17"/>
  <c r="J6" i="17"/>
  <c r="I6" i="17"/>
  <c r="I10" i="17" s="1"/>
  <c r="H6" i="17"/>
  <c r="H10" i="17" s="1"/>
  <c r="G6" i="17"/>
  <c r="F6" i="17"/>
  <c r="F10" i="17" s="1"/>
  <c r="E6" i="17"/>
  <c r="D6" i="17"/>
  <c r="D10" i="17" s="1"/>
  <c r="C6" i="17"/>
  <c r="B6" i="17"/>
  <c r="D18" i="15"/>
  <c r="B18" i="15"/>
  <c r="D12" i="15"/>
  <c r="B9" i="15"/>
  <c r="D9" i="15" s="1"/>
  <c r="B8" i="15"/>
  <c r="D8" i="15" s="1"/>
  <c r="D7" i="15"/>
  <c r="B7" i="15"/>
  <c r="D6" i="15"/>
  <c r="B6" i="15"/>
  <c r="B5" i="15"/>
  <c r="D5" i="15" s="1"/>
  <c r="F11" i="13"/>
  <c r="D11" i="13"/>
  <c r="D12" i="13" s="1"/>
  <c r="B11" i="13"/>
  <c r="B5" i="12"/>
  <c r="G12" i="11"/>
  <c r="G11" i="11"/>
  <c r="G10" i="11"/>
  <c r="G9" i="11"/>
  <c r="G8" i="11"/>
  <c r="G7" i="11"/>
  <c r="G6" i="11"/>
  <c r="G5" i="11"/>
  <c r="F5" i="11"/>
  <c r="J25" i="10"/>
  <c r="J24" i="10"/>
  <c r="H24" i="10"/>
  <c r="J23" i="10"/>
  <c r="H23" i="10"/>
  <c r="J22" i="10"/>
  <c r="H22" i="10"/>
  <c r="J21" i="10"/>
  <c r="H21" i="10"/>
  <c r="J20" i="10"/>
  <c r="H20" i="10"/>
  <c r="J19" i="10"/>
  <c r="H19" i="10"/>
  <c r="J18" i="10"/>
  <c r="H18" i="10"/>
  <c r="J17" i="10"/>
  <c r="H17" i="10"/>
  <c r="J16" i="10"/>
  <c r="H16" i="10"/>
  <c r="J15" i="10"/>
  <c r="H15" i="10"/>
  <c r="J14" i="10"/>
  <c r="H14" i="10"/>
  <c r="J13" i="10"/>
  <c r="H13" i="10"/>
  <c r="J12" i="10"/>
  <c r="H12" i="10"/>
  <c r="J11" i="10"/>
  <c r="H11" i="10"/>
  <c r="J10" i="10"/>
  <c r="H10" i="10"/>
  <c r="J9" i="10"/>
  <c r="H9" i="10"/>
  <c r="J8" i="10"/>
  <c r="H8" i="10"/>
  <c r="J7" i="10"/>
  <c r="H7" i="10"/>
  <c r="J6" i="10"/>
  <c r="H6" i="10"/>
  <c r="J5" i="10"/>
  <c r="H5" i="10"/>
  <c r="D5" i="10"/>
  <c r="C5" i="10"/>
  <c r="B5" i="10"/>
  <c r="I25" i="9"/>
  <c r="E25" i="9"/>
  <c r="J25" i="9" s="1"/>
  <c r="D25" i="9"/>
  <c r="C25" i="9"/>
  <c r="H25" i="9" s="1"/>
  <c r="B25" i="9"/>
  <c r="G25" i="9" s="1"/>
  <c r="I24" i="9"/>
  <c r="E24" i="9"/>
  <c r="J24" i="9" s="1"/>
  <c r="D24" i="9"/>
  <c r="C24" i="9"/>
  <c r="H24" i="9" s="1"/>
  <c r="B24" i="9"/>
  <c r="G24" i="9" s="1"/>
  <c r="I23" i="9"/>
  <c r="E23" i="9"/>
  <c r="J23" i="9" s="1"/>
  <c r="D23" i="9"/>
  <c r="C23" i="9"/>
  <c r="H23" i="9" s="1"/>
  <c r="B23" i="9"/>
  <c r="G23" i="9" s="1"/>
  <c r="I22" i="9"/>
  <c r="E22" i="9"/>
  <c r="J22" i="9" s="1"/>
  <c r="D22" i="9"/>
  <c r="C22" i="9"/>
  <c r="H22" i="9" s="1"/>
  <c r="B22" i="9"/>
  <c r="G22" i="9" s="1"/>
  <c r="I21" i="9"/>
  <c r="E21" i="9"/>
  <c r="J21" i="9" s="1"/>
  <c r="D21" i="9"/>
  <c r="C21" i="9"/>
  <c r="H21" i="9" s="1"/>
  <c r="B21" i="9"/>
  <c r="G21" i="9" s="1"/>
  <c r="I20" i="9"/>
  <c r="E20" i="9"/>
  <c r="J20" i="9" s="1"/>
  <c r="D20" i="9"/>
  <c r="C20" i="9"/>
  <c r="H20" i="9" s="1"/>
  <c r="B20" i="9"/>
  <c r="G20" i="9" s="1"/>
  <c r="I19" i="9"/>
  <c r="E19" i="9"/>
  <c r="J19" i="9" s="1"/>
  <c r="D19" i="9"/>
  <c r="C19" i="9"/>
  <c r="H19" i="9" s="1"/>
  <c r="B19" i="9"/>
  <c r="G19" i="9" s="1"/>
  <c r="I18" i="9"/>
  <c r="E18" i="9"/>
  <c r="J18" i="9" s="1"/>
  <c r="D18" i="9"/>
  <c r="C18" i="9"/>
  <c r="H18" i="9" s="1"/>
  <c r="B18" i="9"/>
  <c r="G18" i="9" s="1"/>
  <c r="J17" i="9"/>
  <c r="I17" i="9"/>
  <c r="E17" i="9"/>
  <c r="D17" i="9"/>
  <c r="C17" i="9"/>
  <c r="H17" i="9" s="1"/>
  <c r="B17" i="9"/>
  <c r="G17" i="9" s="1"/>
  <c r="K17" i="9" s="1"/>
  <c r="I16" i="9"/>
  <c r="E16" i="9"/>
  <c r="J16" i="9" s="1"/>
  <c r="D16" i="9"/>
  <c r="C16" i="9"/>
  <c r="H16" i="9" s="1"/>
  <c r="B16" i="9"/>
  <c r="G16" i="9" s="1"/>
  <c r="K16" i="9" s="1"/>
  <c r="I15" i="9"/>
  <c r="G15" i="9"/>
  <c r="E15" i="9"/>
  <c r="J15" i="9" s="1"/>
  <c r="D15" i="9"/>
  <c r="C15" i="9"/>
  <c r="H15" i="9" s="1"/>
  <c r="B15" i="9"/>
  <c r="J14" i="9"/>
  <c r="G14" i="9"/>
  <c r="E14" i="9"/>
  <c r="D14" i="9"/>
  <c r="I14" i="9" s="1"/>
  <c r="C14" i="9"/>
  <c r="H14" i="9" s="1"/>
  <c r="B14" i="9"/>
  <c r="F14" i="9" s="1"/>
  <c r="H13" i="9"/>
  <c r="G13" i="9"/>
  <c r="E13" i="9"/>
  <c r="J13" i="9" s="1"/>
  <c r="D13" i="9"/>
  <c r="I13" i="9" s="1"/>
  <c r="C13" i="9"/>
  <c r="F13" i="9" s="1"/>
  <c r="B13" i="9"/>
  <c r="J12" i="9"/>
  <c r="G12" i="9"/>
  <c r="E12" i="9"/>
  <c r="D12" i="9"/>
  <c r="I12" i="9" s="1"/>
  <c r="C12" i="9"/>
  <c r="H12" i="9" s="1"/>
  <c r="K12" i="9" s="1"/>
  <c r="B12" i="9"/>
  <c r="F12" i="9" s="1"/>
  <c r="H11" i="9"/>
  <c r="G11" i="9"/>
  <c r="E11" i="9"/>
  <c r="J11" i="9" s="1"/>
  <c r="D11" i="9"/>
  <c r="I11" i="9" s="1"/>
  <c r="C11" i="9"/>
  <c r="F11" i="9" s="1"/>
  <c r="B11" i="9"/>
  <c r="J10" i="9"/>
  <c r="G10" i="9"/>
  <c r="E10" i="9"/>
  <c r="D10" i="9"/>
  <c r="I10" i="9" s="1"/>
  <c r="C10" i="9"/>
  <c r="H10" i="9" s="1"/>
  <c r="K10" i="9" s="1"/>
  <c r="B10" i="9"/>
  <c r="F10" i="9" s="1"/>
  <c r="H9" i="9"/>
  <c r="G9" i="9"/>
  <c r="E9" i="9"/>
  <c r="J9" i="9" s="1"/>
  <c r="D9" i="9"/>
  <c r="I9" i="9" s="1"/>
  <c r="C9" i="9"/>
  <c r="F9" i="9" s="1"/>
  <c r="B9" i="9"/>
  <c r="J8" i="9"/>
  <c r="G8" i="9"/>
  <c r="E8" i="9"/>
  <c r="D8" i="9"/>
  <c r="I8" i="9" s="1"/>
  <c r="C8" i="9"/>
  <c r="H8" i="9" s="1"/>
  <c r="K8" i="9" s="1"/>
  <c r="B8" i="9"/>
  <c r="F8" i="9" s="1"/>
  <c r="H7" i="9"/>
  <c r="G7" i="9"/>
  <c r="E7" i="9"/>
  <c r="J7" i="9" s="1"/>
  <c r="D7" i="9"/>
  <c r="I7" i="9" s="1"/>
  <c r="C7" i="9"/>
  <c r="F7" i="9" s="1"/>
  <c r="B7" i="9"/>
  <c r="J6" i="9"/>
  <c r="G6" i="9"/>
  <c r="E6" i="9"/>
  <c r="E26" i="9" s="1"/>
  <c r="D6" i="9"/>
  <c r="D26" i="9" s="1"/>
  <c r="C6" i="9"/>
  <c r="H6" i="9" s="1"/>
  <c r="B6" i="9"/>
  <c r="F6" i="9" s="1"/>
  <c r="M5" i="9"/>
  <c r="G3" i="9"/>
  <c r="B3" i="9"/>
  <c r="F26" i="8"/>
  <c r="E26" i="8"/>
  <c r="D26" i="8"/>
  <c r="C26" i="8"/>
  <c r="B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H5" i="8" s="1"/>
  <c r="H6" i="8" s="1"/>
  <c r="H7" i="8" s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B34" i="6"/>
  <c r="B25" i="6"/>
  <c r="G26" i="5"/>
  <c r="B5" i="4" s="1"/>
  <c r="F26" i="5"/>
  <c r="E26" i="5"/>
  <c r="D26" i="5"/>
  <c r="C26" i="5"/>
  <c r="B26" i="5"/>
  <c r="G25" i="5"/>
  <c r="G24" i="5"/>
  <c r="G23" i="5"/>
  <c r="G22" i="5"/>
  <c r="G21" i="5"/>
  <c r="F21" i="10" s="1"/>
  <c r="G20" i="5"/>
  <c r="F20" i="10" s="1"/>
  <c r="G19" i="5"/>
  <c r="G18" i="5"/>
  <c r="G17" i="5"/>
  <c r="G16" i="5"/>
  <c r="F16" i="10" s="1"/>
  <c r="G15" i="5"/>
  <c r="G14" i="5"/>
  <c r="G13" i="5"/>
  <c r="G12" i="5"/>
  <c r="F12" i="10" s="1"/>
  <c r="G11" i="5"/>
  <c r="G10" i="5"/>
  <c r="G9" i="5"/>
  <c r="G8" i="5"/>
  <c r="F8" i="10" s="1"/>
  <c r="G7" i="5"/>
  <c r="G6" i="5"/>
  <c r="G5" i="5"/>
  <c r="F5" i="10" s="1"/>
  <c r="B10" i="4"/>
  <c r="B9" i="4"/>
  <c r="B7" i="4"/>
  <c r="B6" i="4"/>
  <c r="B6" i="3"/>
  <c r="B5" i="3"/>
  <c r="C9" i="1"/>
  <c r="C8" i="1"/>
  <c r="C7" i="1"/>
  <c r="C6" i="1"/>
  <c r="C5" i="1"/>
  <c r="C4" i="1"/>
  <c r="H26" i="9" l="1"/>
  <c r="G12" i="17"/>
  <c r="C10" i="10"/>
  <c r="K14" i="9"/>
  <c r="N12" i="17"/>
  <c r="C17" i="10"/>
  <c r="C11" i="17"/>
  <c r="B6" i="10"/>
  <c r="E6" i="10" s="1"/>
  <c r="K7" i="9"/>
  <c r="K11" i="9"/>
  <c r="K15" i="9"/>
  <c r="F11" i="17"/>
  <c r="B9" i="10"/>
  <c r="E9" i="10" s="1"/>
  <c r="J11" i="17"/>
  <c r="L13" i="9"/>
  <c r="D13" i="10" s="1"/>
  <c r="B13" i="10"/>
  <c r="E13" i="10" s="1"/>
  <c r="E11" i="17"/>
  <c r="L8" i="9"/>
  <c r="D8" i="10" s="1"/>
  <c r="B8" i="10"/>
  <c r="E8" i="10" s="1"/>
  <c r="M8" i="9"/>
  <c r="I11" i="17"/>
  <c r="B12" i="10"/>
  <c r="E12" i="10" s="1"/>
  <c r="M12" i="9"/>
  <c r="L12" i="9"/>
  <c r="D12" i="10" s="1"/>
  <c r="M12" i="17"/>
  <c r="C16" i="10"/>
  <c r="G11" i="17"/>
  <c r="B10" i="10"/>
  <c r="E10" i="10" s="1"/>
  <c r="L10" i="9"/>
  <c r="D10" i="10" s="1"/>
  <c r="J26" i="9"/>
  <c r="I12" i="17"/>
  <c r="C12" i="10"/>
  <c r="E12" i="17"/>
  <c r="C8" i="10"/>
  <c r="K9" i="9"/>
  <c r="K13" i="9"/>
  <c r="K11" i="17"/>
  <c r="B14" i="10"/>
  <c r="E14" i="10" s="1"/>
  <c r="M14" i="9"/>
  <c r="L14" i="9"/>
  <c r="D14" i="10" s="1"/>
  <c r="D11" i="17"/>
  <c r="B7" i="10"/>
  <c r="E7" i="10" s="1"/>
  <c r="L7" i="9"/>
  <c r="D7" i="10" s="1"/>
  <c r="H11" i="17"/>
  <c r="B11" i="10"/>
  <c r="E11" i="10" s="1"/>
  <c r="K19" i="9"/>
  <c r="K20" i="9"/>
  <c r="K21" i="9"/>
  <c r="K22" i="9"/>
  <c r="K23" i="9"/>
  <c r="K24" i="9"/>
  <c r="K25" i="9"/>
  <c r="B26" i="9"/>
  <c r="K18" i="9"/>
  <c r="B10" i="15"/>
  <c r="D10" i="15" s="1"/>
  <c r="B6" i="12"/>
  <c r="F6" i="18"/>
  <c r="F7" i="18" s="1"/>
  <c r="F20" i="17" s="1"/>
  <c r="B9" i="11"/>
  <c r="J6" i="18"/>
  <c r="J7" i="18" s="1"/>
  <c r="J20" i="17" s="1"/>
  <c r="B13" i="11"/>
  <c r="N6" i="18"/>
  <c r="N7" i="18" s="1"/>
  <c r="N20" i="17" s="1"/>
  <c r="B17" i="11"/>
  <c r="R6" i="18"/>
  <c r="R7" i="18" s="1"/>
  <c r="R20" i="17" s="1"/>
  <c r="B21" i="11"/>
  <c r="V6" i="18"/>
  <c r="V7" i="18" s="1"/>
  <c r="V20" i="17" s="1"/>
  <c r="B25" i="11"/>
  <c r="F25" i="10"/>
  <c r="F16" i="9"/>
  <c r="H5" i="5"/>
  <c r="H6" i="5" s="1"/>
  <c r="H7" i="5" s="1"/>
  <c r="H8" i="5" s="1"/>
  <c r="H9" i="5" s="1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G26" i="8"/>
  <c r="F9" i="10"/>
  <c r="C6" i="18"/>
  <c r="C7" i="18" s="1"/>
  <c r="F6" i="10"/>
  <c r="F26" i="10" s="1"/>
  <c r="B6" i="11"/>
  <c r="G6" i="18"/>
  <c r="G7" i="18" s="1"/>
  <c r="G20" i="17" s="1"/>
  <c r="B10" i="11"/>
  <c r="F10" i="10"/>
  <c r="K6" i="18"/>
  <c r="K7" i="18" s="1"/>
  <c r="K20" i="17" s="1"/>
  <c r="F14" i="10"/>
  <c r="B14" i="11"/>
  <c r="O6" i="18"/>
  <c r="O7" i="18" s="1"/>
  <c r="O20" i="17" s="1"/>
  <c r="B18" i="11"/>
  <c r="F18" i="10"/>
  <c r="S6" i="18"/>
  <c r="S7" i="18" s="1"/>
  <c r="S20" i="17" s="1"/>
  <c r="F22" i="10"/>
  <c r="B22" i="11"/>
  <c r="G26" i="9"/>
  <c r="F17" i="9"/>
  <c r="B5" i="11"/>
  <c r="F18" i="9"/>
  <c r="F19" i="9"/>
  <c r="F20" i="9"/>
  <c r="F21" i="9"/>
  <c r="F22" i="9"/>
  <c r="F23" i="9"/>
  <c r="F24" i="9"/>
  <c r="F25" i="9"/>
  <c r="F13" i="10"/>
  <c r="D6" i="18"/>
  <c r="D7" i="18" s="1"/>
  <c r="D20" i="17" s="1"/>
  <c r="B7" i="11"/>
  <c r="F7" i="10"/>
  <c r="H6" i="18"/>
  <c r="H7" i="18" s="1"/>
  <c r="H20" i="17" s="1"/>
  <c r="B11" i="11"/>
  <c r="F11" i="10"/>
  <c r="L6" i="18"/>
  <c r="L7" i="18" s="1"/>
  <c r="L20" i="17" s="1"/>
  <c r="B15" i="11"/>
  <c r="F15" i="10"/>
  <c r="P6" i="18"/>
  <c r="P7" i="18" s="1"/>
  <c r="P20" i="17" s="1"/>
  <c r="B19" i="11"/>
  <c r="F19" i="10"/>
  <c r="T6" i="18"/>
  <c r="T7" i="18" s="1"/>
  <c r="T20" i="17" s="1"/>
  <c r="B23" i="11"/>
  <c r="F23" i="10"/>
  <c r="I6" i="9"/>
  <c r="I26" i="9" s="1"/>
  <c r="E5" i="10"/>
  <c r="F15" i="9"/>
  <c r="F26" i="9" s="1"/>
  <c r="F17" i="10"/>
  <c r="E6" i="18"/>
  <c r="E7" i="18" s="1"/>
  <c r="E20" i="17" s="1"/>
  <c r="B8" i="11"/>
  <c r="I6" i="18"/>
  <c r="I7" i="18" s="1"/>
  <c r="I20" i="17" s="1"/>
  <c r="B12" i="11"/>
  <c r="M6" i="18"/>
  <c r="M7" i="18" s="1"/>
  <c r="M20" i="17" s="1"/>
  <c r="B16" i="11"/>
  <c r="Q6" i="18"/>
  <c r="Q7" i="18" s="1"/>
  <c r="Q20" i="17" s="1"/>
  <c r="B20" i="11"/>
  <c r="U6" i="18"/>
  <c r="U7" i="18" s="1"/>
  <c r="U20" i="17" s="1"/>
  <c r="F24" i="10"/>
  <c r="B24" i="11"/>
  <c r="C26" i="9"/>
  <c r="E15" i="18"/>
  <c r="E16" i="18"/>
  <c r="F15" i="18"/>
  <c r="F16" i="18"/>
  <c r="G10" i="17"/>
  <c r="O10" i="17"/>
  <c r="P10" i="17"/>
  <c r="I5" i="11"/>
  <c r="B10" i="17"/>
  <c r="J10" i="17"/>
  <c r="R10" i="17"/>
  <c r="D13" i="18"/>
  <c r="D23" i="17" s="1"/>
  <c r="D26" i="17" s="1"/>
  <c r="G14" i="18"/>
  <c r="B14" i="17"/>
  <c r="B16" i="17" s="1"/>
  <c r="B9" i="18"/>
  <c r="B12" i="18" s="1"/>
  <c r="F13" i="18"/>
  <c r="F23" i="17" s="1"/>
  <c r="F26" i="17" s="1"/>
  <c r="I14" i="18"/>
  <c r="B14" i="18"/>
  <c r="H16" i="18"/>
  <c r="B21" i="17"/>
  <c r="C14" i="18"/>
  <c r="D14" i="18"/>
  <c r="C8" i="18" l="1"/>
  <c r="B25" i="17"/>
  <c r="U12" i="17"/>
  <c r="C24" i="10"/>
  <c r="J12" i="11"/>
  <c r="G12" i="10"/>
  <c r="I12" i="10" s="1"/>
  <c r="L12" i="17"/>
  <c r="C15" i="10"/>
  <c r="V12" i="17"/>
  <c r="C25" i="10"/>
  <c r="E14" i="17"/>
  <c r="E13" i="17"/>
  <c r="E15" i="17"/>
  <c r="L18" i="18"/>
  <c r="C24" i="11"/>
  <c r="D24" i="11" s="1"/>
  <c r="C17" i="11"/>
  <c r="D17" i="11" s="1"/>
  <c r="O12" i="17"/>
  <c r="C18" i="10"/>
  <c r="T12" i="17"/>
  <c r="C23" i="10"/>
  <c r="H15" i="17"/>
  <c r="H14" i="17"/>
  <c r="K15" i="17"/>
  <c r="K14" i="17"/>
  <c r="J13" i="11"/>
  <c r="G13" i="10"/>
  <c r="I13" i="10" s="1"/>
  <c r="H12" i="17"/>
  <c r="H13" i="17" s="1"/>
  <c r="C11" i="10"/>
  <c r="C18" i="18"/>
  <c r="D19" i="18" s="1"/>
  <c r="D17" i="18" s="1"/>
  <c r="T11" i="17"/>
  <c r="B23" i="10"/>
  <c r="E23" i="10" s="1"/>
  <c r="L23" i="9"/>
  <c r="D23" i="10" s="1"/>
  <c r="D22" i="11"/>
  <c r="C22" i="11"/>
  <c r="D18" i="18"/>
  <c r="R11" i="17"/>
  <c r="L21" i="9"/>
  <c r="D21" i="10" s="1"/>
  <c r="B21" i="10"/>
  <c r="E21" i="10" s="1"/>
  <c r="I18" i="18"/>
  <c r="G18" i="18"/>
  <c r="B16" i="18"/>
  <c r="B15" i="18"/>
  <c r="R18" i="18"/>
  <c r="C8" i="11"/>
  <c r="D8" i="11" s="1"/>
  <c r="L8" i="11" s="1"/>
  <c r="Q11" i="17"/>
  <c r="L20" i="9"/>
  <c r="D20" i="10" s="1"/>
  <c r="B20" i="10"/>
  <c r="E20" i="10" s="1"/>
  <c r="D10" i="11"/>
  <c r="L10" i="11" s="1"/>
  <c r="C10" i="11"/>
  <c r="S12" i="17"/>
  <c r="C22" i="10"/>
  <c r="J7" i="11"/>
  <c r="G7" i="10"/>
  <c r="I7" i="10"/>
  <c r="J12" i="17"/>
  <c r="J13" i="17" s="1"/>
  <c r="C13" i="10"/>
  <c r="I10" i="10"/>
  <c r="G10" i="10"/>
  <c r="J10" i="11" s="1"/>
  <c r="M13" i="9"/>
  <c r="D12" i="17"/>
  <c r="C7" i="10"/>
  <c r="K12" i="17"/>
  <c r="K13" i="17" s="1"/>
  <c r="C14" i="10"/>
  <c r="E18" i="18"/>
  <c r="C15" i="17"/>
  <c r="C14" i="17"/>
  <c r="B18" i="18"/>
  <c r="F18" i="18"/>
  <c r="G19" i="18" s="1"/>
  <c r="G17" i="18" s="1"/>
  <c r="I15" i="18"/>
  <c r="I16" i="18"/>
  <c r="C15" i="11"/>
  <c r="D15" i="11" s="1"/>
  <c r="D23" i="11"/>
  <c r="C23" i="11"/>
  <c r="P11" i="17"/>
  <c r="L19" i="9"/>
  <c r="D19" i="10" s="1"/>
  <c r="B19" i="10"/>
  <c r="E19" i="10" s="1"/>
  <c r="M11" i="17"/>
  <c r="L16" i="9"/>
  <c r="D16" i="10" s="1"/>
  <c r="B16" i="10"/>
  <c r="E16" i="10" s="1"/>
  <c r="M16" i="9"/>
  <c r="D13" i="11"/>
  <c r="C13" i="11"/>
  <c r="R12" i="17"/>
  <c r="C21" i="10"/>
  <c r="M7" i="9"/>
  <c r="F12" i="17"/>
  <c r="F13" i="17" s="1"/>
  <c r="C9" i="10"/>
  <c r="M10" i="9"/>
  <c r="I15" i="17"/>
  <c r="I13" i="17"/>
  <c r="I14" i="17"/>
  <c r="J15" i="17"/>
  <c r="J14" i="17"/>
  <c r="T18" i="18"/>
  <c r="G5" i="10"/>
  <c r="J5" i="11" s="1"/>
  <c r="F14" i="17"/>
  <c r="F15" i="17"/>
  <c r="G15" i="18"/>
  <c r="G16" i="18"/>
  <c r="H18" i="18"/>
  <c r="I19" i="18" s="1"/>
  <c r="I17" i="18" s="1"/>
  <c r="B17" i="17"/>
  <c r="C20" i="11"/>
  <c r="D20" i="11" s="1"/>
  <c r="C11" i="11"/>
  <c r="D11" i="11" s="1"/>
  <c r="O11" i="17"/>
  <c r="B18" i="10"/>
  <c r="E18" i="10" s="1"/>
  <c r="L18" i="9"/>
  <c r="D18" i="10" s="1"/>
  <c r="M18" i="9"/>
  <c r="C18" i="11"/>
  <c r="D18" i="11" s="1"/>
  <c r="C6" i="11"/>
  <c r="D6" i="11" s="1"/>
  <c r="Q12" i="17"/>
  <c r="C20" i="10"/>
  <c r="J18" i="18"/>
  <c r="D21" i="11"/>
  <c r="C21" i="11"/>
  <c r="Q18" i="18"/>
  <c r="R19" i="18" s="1"/>
  <c r="R17" i="18" s="1"/>
  <c r="D16" i="18"/>
  <c r="D15" i="18"/>
  <c r="U18" i="18"/>
  <c r="S18" i="18"/>
  <c r="T19" i="18" s="1"/>
  <c r="T17" i="18" s="1"/>
  <c r="V11" i="17"/>
  <c r="L25" i="9"/>
  <c r="D25" i="10" s="1"/>
  <c r="B25" i="10"/>
  <c r="E25" i="10" s="1"/>
  <c r="M25" i="9"/>
  <c r="B26" i="11"/>
  <c r="C5" i="11"/>
  <c r="C25" i="11"/>
  <c r="D25" i="11" s="1"/>
  <c r="C9" i="11"/>
  <c r="D9" i="11" s="1"/>
  <c r="P12" i="17"/>
  <c r="C19" i="10"/>
  <c r="D13" i="17"/>
  <c r="D14" i="17"/>
  <c r="D15" i="17"/>
  <c r="G14" i="17"/>
  <c r="G15" i="17"/>
  <c r="G13" i="17"/>
  <c r="L9" i="9"/>
  <c r="K6" i="9"/>
  <c r="N18" i="18"/>
  <c r="O19" i="18" s="1"/>
  <c r="O17" i="18" s="1"/>
  <c r="D7" i="11"/>
  <c r="L7" i="11" s="1"/>
  <c r="C7" i="11"/>
  <c r="B7" i="19"/>
  <c r="C12" i="11"/>
  <c r="D12" i="11" s="1"/>
  <c r="L12" i="11" s="1"/>
  <c r="S11" i="17"/>
  <c r="L22" i="9"/>
  <c r="D22" i="10" s="1"/>
  <c r="B22" i="10"/>
  <c r="E22" i="10" s="1"/>
  <c r="O18" i="18"/>
  <c r="P18" i="18"/>
  <c r="Q19" i="18" s="1"/>
  <c r="Q17" i="18" s="1"/>
  <c r="C16" i="18"/>
  <c r="C15" i="18"/>
  <c r="V18" i="18"/>
  <c r="M18" i="18"/>
  <c r="N19" i="18" s="1"/>
  <c r="N17" i="18" s="1"/>
  <c r="B20" i="18"/>
  <c r="K18" i="18"/>
  <c r="L19" i="18" s="1"/>
  <c r="L17" i="18" s="1"/>
  <c r="K5" i="11"/>
  <c r="D16" i="11"/>
  <c r="C16" i="11"/>
  <c r="L11" i="17"/>
  <c r="B15" i="10"/>
  <c r="M15" i="9"/>
  <c r="L15" i="9"/>
  <c r="D15" i="10" s="1"/>
  <c r="C19" i="11"/>
  <c r="D19" i="11" s="1"/>
  <c r="U11" i="17"/>
  <c r="L24" i="9"/>
  <c r="D24" i="10" s="1"/>
  <c r="M24" i="9"/>
  <c r="B24" i="10"/>
  <c r="E24" i="10" s="1"/>
  <c r="N11" i="17"/>
  <c r="L17" i="9"/>
  <c r="D17" i="10" s="1"/>
  <c r="M17" i="9"/>
  <c r="B17" i="10"/>
  <c r="E17" i="10" s="1"/>
  <c r="D14" i="11"/>
  <c r="C14" i="11"/>
  <c r="C20" i="17"/>
  <c r="B14" i="15"/>
  <c r="D14" i="15" s="1"/>
  <c r="L11" i="9"/>
  <c r="G14" i="10"/>
  <c r="I14" i="10" s="1"/>
  <c r="G8" i="10"/>
  <c r="J8" i="11" s="1"/>
  <c r="I8" i="10"/>
  <c r="J16" i="17" l="1"/>
  <c r="J17" i="17"/>
  <c r="F16" i="17"/>
  <c r="F17" i="17"/>
  <c r="K16" i="17"/>
  <c r="K17" i="17"/>
  <c r="K12" i="10"/>
  <c r="B26" i="12"/>
  <c r="B28" i="12"/>
  <c r="K14" i="10"/>
  <c r="H16" i="17"/>
  <c r="H17" i="17" s="1"/>
  <c r="B27" i="12"/>
  <c r="K13" i="10"/>
  <c r="G16" i="10"/>
  <c r="J16" i="11" s="1"/>
  <c r="I16" i="10"/>
  <c r="C19" i="18"/>
  <c r="C17" i="18" s="1"/>
  <c r="B19" i="18"/>
  <c r="K7" i="10"/>
  <c r="B21" i="12"/>
  <c r="S19" i="18"/>
  <c r="S17" i="18" s="1"/>
  <c r="R15" i="17"/>
  <c r="R13" i="17"/>
  <c r="R14" i="17"/>
  <c r="L13" i="17"/>
  <c r="L14" i="17"/>
  <c r="L15" i="17"/>
  <c r="B10" i="20"/>
  <c r="U14" i="17"/>
  <c r="U13" i="17"/>
  <c r="U15" i="17"/>
  <c r="G21" i="10"/>
  <c r="J21" i="11" s="1"/>
  <c r="C13" i="1"/>
  <c r="E7" i="4" s="1"/>
  <c r="M14" i="17"/>
  <c r="M13" i="17"/>
  <c r="M15" i="17"/>
  <c r="D10" i="20"/>
  <c r="C10" i="1"/>
  <c r="M20" i="9"/>
  <c r="E19" i="18"/>
  <c r="E17" i="18" s="1"/>
  <c r="J14" i="11"/>
  <c r="G17" i="10"/>
  <c r="J17" i="11" s="1"/>
  <c r="G15" i="10"/>
  <c r="I15" i="10"/>
  <c r="P19" i="18"/>
  <c r="P17" i="18" s="1"/>
  <c r="H25" i="10"/>
  <c r="G25" i="10"/>
  <c r="J25" i="11" s="1"/>
  <c r="M19" i="9"/>
  <c r="G20" i="10"/>
  <c r="I20" i="10" s="1"/>
  <c r="B22" i="12"/>
  <c r="K8" i="10"/>
  <c r="L14" i="11"/>
  <c r="L16" i="11"/>
  <c r="T13" i="17"/>
  <c r="T14" i="17"/>
  <c r="T15" i="17"/>
  <c r="N14" i="17"/>
  <c r="N15" i="17"/>
  <c r="N13" i="17"/>
  <c r="M22" i="9"/>
  <c r="V14" i="17"/>
  <c r="V15" i="17"/>
  <c r="V13" i="17"/>
  <c r="I17" i="17"/>
  <c r="I16" i="17"/>
  <c r="Q15" i="17"/>
  <c r="Q13" i="17"/>
  <c r="Q14" i="17"/>
  <c r="H19" i="18"/>
  <c r="H17" i="18" s="1"/>
  <c r="D9" i="10"/>
  <c r="M9" i="9"/>
  <c r="G17" i="17"/>
  <c r="G16" i="17"/>
  <c r="D11" i="10"/>
  <c r="M11" i="9"/>
  <c r="E15" i="10"/>
  <c r="E26" i="10" s="1"/>
  <c r="B26" i="10"/>
  <c r="K19" i="18"/>
  <c r="K17" i="18" s="1"/>
  <c r="G18" i="10"/>
  <c r="I18" i="10" s="1"/>
  <c r="B24" i="17"/>
  <c r="B19" i="17"/>
  <c r="I5" i="10"/>
  <c r="J19" i="11"/>
  <c r="G19" i="10"/>
  <c r="I19" i="10"/>
  <c r="J19" i="18"/>
  <c r="J17" i="18" s="1"/>
  <c r="M23" i="9"/>
  <c r="M19" i="18"/>
  <c r="M17" i="18" s="1"/>
  <c r="C9" i="18"/>
  <c r="C12" i="18"/>
  <c r="P15" i="17"/>
  <c r="P13" i="17"/>
  <c r="P14" i="17"/>
  <c r="F19" i="18"/>
  <c r="F17" i="18" s="1"/>
  <c r="B24" i="12"/>
  <c r="K10" i="10"/>
  <c r="I23" i="10"/>
  <c r="L23" i="11" s="1"/>
  <c r="G23" i="10"/>
  <c r="J23" i="11" s="1"/>
  <c r="G22" i="10"/>
  <c r="J22" i="11"/>
  <c r="I22" i="10"/>
  <c r="D16" i="17"/>
  <c r="D17" i="17"/>
  <c r="H5" i="11"/>
  <c r="E6" i="11" s="1"/>
  <c r="C26" i="11"/>
  <c r="L13" i="11"/>
  <c r="G24" i="10"/>
  <c r="I24" i="10" s="1"/>
  <c r="J24" i="11"/>
  <c r="S15" i="17"/>
  <c r="S13" i="17"/>
  <c r="S14" i="17"/>
  <c r="K26" i="9"/>
  <c r="C12" i="17"/>
  <c r="C13" i="17" s="1"/>
  <c r="C6" i="10"/>
  <c r="C26" i="10" s="1"/>
  <c r="L6" i="9"/>
  <c r="D5" i="11"/>
  <c r="V19" i="18"/>
  <c r="V17" i="18" s="1"/>
  <c r="O14" i="17"/>
  <c r="O15" i="17"/>
  <c r="O13" i="17"/>
  <c r="U19" i="18"/>
  <c r="U17" i="18" s="1"/>
  <c r="M21" i="9"/>
  <c r="E16" i="17"/>
  <c r="E17" i="17"/>
  <c r="C10" i="20"/>
  <c r="B32" i="12" l="1"/>
  <c r="K18" i="10"/>
  <c r="L18" i="11"/>
  <c r="H24" i="17"/>
  <c r="H27" i="17" s="1"/>
  <c r="H19" i="17"/>
  <c r="B38" i="12"/>
  <c r="K24" i="10"/>
  <c r="L24" i="11"/>
  <c r="K20" i="10"/>
  <c r="B34" i="12"/>
  <c r="L20" i="11"/>
  <c r="K15" i="10"/>
  <c r="B29" i="12"/>
  <c r="L26" i="9"/>
  <c r="D6" i="10"/>
  <c r="M6" i="9"/>
  <c r="K19" i="10"/>
  <c r="B33" i="12"/>
  <c r="V16" i="17"/>
  <c r="V17" i="17"/>
  <c r="V18" i="17"/>
  <c r="B7" i="12"/>
  <c r="E5" i="4"/>
  <c r="P17" i="17"/>
  <c r="P16" i="17"/>
  <c r="T16" i="17"/>
  <c r="T17" i="17"/>
  <c r="J15" i="11"/>
  <c r="I21" i="10"/>
  <c r="B10" i="13"/>
  <c r="B17" i="18"/>
  <c r="C16" i="17"/>
  <c r="C17" i="17" s="1"/>
  <c r="C11" i="1"/>
  <c r="D11" i="20"/>
  <c r="D13" i="20" s="1"/>
  <c r="B11" i="20"/>
  <c r="B13" i="20" s="1"/>
  <c r="C11" i="20"/>
  <c r="C13" i="20" s="1"/>
  <c r="B27" i="17"/>
  <c r="L16" i="17"/>
  <c r="L17" i="17"/>
  <c r="G11" i="10"/>
  <c r="J11" i="11" s="1"/>
  <c r="Q17" i="17"/>
  <c r="Q16" i="17"/>
  <c r="B11" i="15"/>
  <c r="D11" i="15" s="1"/>
  <c r="H26" i="10"/>
  <c r="I17" i="10"/>
  <c r="M16" i="17"/>
  <c r="M17" i="17"/>
  <c r="B30" i="12"/>
  <c r="K16" i="10"/>
  <c r="J24" i="17"/>
  <c r="J27" i="17" s="1"/>
  <c r="J19" i="17"/>
  <c r="D26" i="11"/>
  <c r="L5" i="11"/>
  <c r="B36" i="12"/>
  <c r="K22" i="10"/>
  <c r="J9" i="11"/>
  <c r="I9" i="10"/>
  <c r="G9" i="10"/>
  <c r="L22" i="11"/>
  <c r="J20" i="11"/>
  <c r="B19" i="12"/>
  <c r="L5" i="10"/>
  <c r="K5" i="10"/>
  <c r="F6" i="11"/>
  <c r="H6" i="11"/>
  <c r="E7" i="11" s="1"/>
  <c r="N16" i="17"/>
  <c r="N17" i="17"/>
  <c r="I25" i="10"/>
  <c r="R16" i="17"/>
  <c r="R17" i="17"/>
  <c r="D8" i="18"/>
  <c r="C25" i="17"/>
  <c r="S16" i="17"/>
  <c r="S17" i="17"/>
  <c r="D24" i="17"/>
  <c r="D27" i="17" s="1"/>
  <c r="D19" i="17"/>
  <c r="J18" i="11"/>
  <c r="G19" i="17"/>
  <c r="G24" i="17"/>
  <c r="G27" i="17" s="1"/>
  <c r="U16" i="17"/>
  <c r="U17" i="17"/>
  <c r="K24" i="17"/>
  <c r="K27" i="17" s="1"/>
  <c r="K19" i="17"/>
  <c r="L15" i="11"/>
  <c r="E24" i="17"/>
  <c r="E27" i="17" s="1"/>
  <c r="E19" i="17"/>
  <c r="F24" i="17"/>
  <c r="F27" i="17" s="1"/>
  <c r="F19" i="17"/>
  <c r="O16" i="17"/>
  <c r="O17" i="17" s="1"/>
  <c r="K23" i="10"/>
  <c r="B37" i="12"/>
  <c r="I24" i="17"/>
  <c r="I27" i="17" s="1"/>
  <c r="I19" i="17"/>
  <c r="L19" i="11"/>
  <c r="C24" i="17" l="1"/>
  <c r="C19" i="17"/>
  <c r="C12" i="20"/>
  <c r="B12" i="20"/>
  <c r="C12" i="1"/>
  <c r="D12" i="20"/>
  <c r="O19" i="17"/>
  <c r="O24" i="17"/>
  <c r="O27" i="17" s="1"/>
  <c r="B8" i="19"/>
  <c r="D9" i="18"/>
  <c r="D12" i="18" s="1"/>
  <c r="P24" i="17"/>
  <c r="P27" i="17" s="1"/>
  <c r="P19" i="17"/>
  <c r="B18" i="3"/>
  <c r="C18" i="3"/>
  <c r="G6" i="10"/>
  <c r="G26" i="10" s="1"/>
  <c r="D26" i="10"/>
  <c r="B12" i="13"/>
  <c r="F10" i="13"/>
  <c r="F12" i="13" s="1"/>
  <c r="D10" i="13"/>
  <c r="I11" i="10"/>
  <c r="B35" i="12"/>
  <c r="K21" i="10"/>
  <c r="L21" i="11"/>
  <c r="B20" i="19"/>
  <c r="C23" i="1"/>
  <c r="B9" i="12" s="1"/>
  <c r="B23" i="12"/>
  <c r="K9" i="10"/>
  <c r="L9" i="11"/>
  <c r="C25" i="3"/>
  <c r="B25" i="3"/>
  <c r="R24" i="17"/>
  <c r="R27" i="17" s="1"/>
  <c r="R19" i="17"/>
  <c r="M5" i="11"/>
  <c r="M24" i="17"/>
  <c r="M27" i="17" s="1"/>
  <c r="M19" i="17"/>
  <c r="V24" i="17"/>
  <c r="V27" i="17" s="1"/>
  <c r="V19" i="17"/>
  <c r="C24" i="3"/>
  <c r="B24" i="3"/>
  <c r="I6" i="11"/>
  <c r="C21" i="3"/>
  <c r="B21" i="3"/>
  <c r="Q24" i="17"/>
  <c r="Q27" i="17" s="1"/>
  <c r="Q19" i="17"/>
  <c r="C27" i="3"/>
  <c r="B27" i="3"/>
  <c r="T24" i="17"/>
  <c r="T27" i="17" s="1"/>
  <c r="T19" i="17"/>
  <c r="C20" i="3"/>
  <c r="B20" i="3"/>
  <c r="N24" i="17"/>
  <c r="N27" i="17" s="1"/>
  <c r="N19" i="17"/>
  <c r="U24" i="17"/>
  <c r="U27" i="17" s="1"/>
  <c r="U19" i="17"/>
  <c r="H7" i="11"/>
  <c r="E8" i="11" s="1"/>
  <c r="F7" i="11"/>
  <c r="I7" i="11" s="1"/>
  <c r="K7" i="11" s="1"/>
  <c r="B31" i="12"/>
  <c r="K17" i="10"/>
  <c r="L17" i="11"/>
  <c r="L24" i="17"/>
  <c r="L27" i="17" s="1"/>
  <c r="L19" i="17"/>
  <c r="B8" i="12"/>
  <c r="E6" i="4"/>
  <c r="B39" i="12"/>
  <c r="K25" i="10"/>
  <c r="L25" i="11"/>
  <c r="S24" i="17"/>
  <c r="S27" i="17" s="1"/>
  <c r="S19" i="17"/>
  <c r="B22" i="3"/>
  <c r="C22" i="3"/>
  <c r="C23" i="3"/>
  <c r="B23" i="3"/>
  <c r="B26" i="3"/>
  <c r="C26" i="3"/>
  <c r="D25" i="17" l="1"/>
  <c r="E8" i="18"/>
  <c r="B30" i="3"/>
  <c r="C30" i="3"/>
  <c r="C32" i="3"/>
  <c r="B32" i="3"/>
  <c r="C35" i="3"/>
  <c r="B35" i="3"/>
  <c r="B34" i="3"/>
  <c r="C34" i="3"/>
  <c r="C33" i="3"/>
  <c r="B33" i="3"/>
  <c r="I6" i="10"/>
  <c r="F8" i="11"/>
  <c r="H8" i="11"/>
  <c r="E9" i="11" s="1"/>
  <c r="C28" i="3"/>
  <c r="B28" i="3"/>
  <c r="C29" i="3"/>
  <c r="B29" i="3"/>
  <c r="K11" i="10"/>
  <c r="B25" i="12"/>
  <c r="L11" i="11"/>
  <c r="J6" i="11"/>
  <c r="J26" i="11" s="1"/>
  <c r="B17" i="21"/>
  <c r="B17" i="15"/>
  <c r="D17" i="15" s="1"/>
  <c r="C14" i="1"/>
  <c r="E8" i="4" s="1"/>
  <c r="B9" i="19"/>
  <c r="C36" i="3"/>
  <c r="B36" i="3"/>
  <c r="C37" i="3"/>
  <c r="B37" i="3"/>
  <c r="C31" i="3"/>
  <c r="B31" i="3"/>
  <c r="C27" i="17"/>
  <c r="B17" i="19"/>
  <c r="B19" i="19"/>
  <c r="B16" i="3" l="1"/>
  <c r="C22" i="1"/>
  <c r="B10" i="12" s="1"/>
  <c r="K6" i="11"/>
  <c r="B15" i="21"/>
  <c r="C20" i="1"/>
  <c r="B15" i="3"/>
  <c r="E41" i="1" s="1"/>
  <c r="C19" i="3"/>
  <c r="B19" i="3"/>
  <c r="B7" i="3"/>
  <c r="B8" i="3"/>
  <c r="I8" i="11"/>
  <c r="B18" i="21"/>
  <c r="C15" i="1"/>
  <c r="E9" i="4" s="1"/>
  <c r="H9" i="11"/>
  <c r="E10" i="11" s="1"/>
  <c r="F9" i="11"/>
  <c r="I9" i="11" s="1"/>
  <c r="K9" i="11" s="1"/>
  <c r="B20" i="12"/>
  <c r="B15" i="12" s="1"/>
  <c r="K6" i="10"/>
  <c r="L6" i="11"/>
  <c r="I26" i="10"/>
  <c r="L6" i="10"/>
  <c r="L7" i="10" s="1"/>
  <c r="L8" i="10" s="1"/>
  <c r="L9" i="10" s="1"/>
  <c r="L10" i="10" s="1"/>
  <c r="L11" i="10" s="1"/>
  <c r="L12" i="10" s="1"/>
  <c r="L13" i="10" s="1"/>
  <c r="L14" i="10" s="1"/>
  <c r="L15" i="10" s="1"/>
  <c r="L16" i="10" s="1"/>
  <c r="L17" i="10" s="1"/>
  <c r="L18" i="10" s="1"/>
  <c r="L19" i="10" s="1"/>
  <c r="L20" i="10" s="1"/>
  <c r="L21" i="10" s="1"/>
  <c r="L22" i="10" s="1"/>
  <c r="L23" i="10" s="1"/>
  <c r="L24" i="10" s="1"/>
  <c r="L25" i="10" s="1"/>
  <c r="L26" i="10" s="1"/>
  <c r="E9" i="18"/>
  <c r="E12" i="18"/>
  <c r="B14" i="12" l="1"/>
  <c r="E11" i="4"/>
  <c r="E25" i="17"/>
  <c r="F8" i="18"/>
  <c r="K26" i="10"/>
  <c r="E10" i="12"/>
  <c r="F10" i="11"/>
  <c r="I10" i="11" s="1"/>
  <c r="K10" i="11" s="1"/>
  <c r="H10" i="11"/>
  <c r="E11" i="11" s="1"/>
  <c r="L26" i="11"/>
  <c r="M6" i="11"/>
  <c r="M7" i="11" s="1"/>
  <c r="M8" i="11" s="1"/>
  <c r="M9" i="11" s="1"/>
  <c r="M10" i="11" s="1"/>
  <c r="M11" i="11" s="1"/>
  <c r="M12" i="11" s="1"/>
  <c r="M13" i="11" s="1"/>
  <c r="M14" i="11" s="1"/>
  <c r="M15" i="11" s="1"/>
  <c r="M16" i="11" s="1"/>
  <c r="M17" i="11" s="1"/>
  <c r="M18" i="11" s="1"/>
  <c r="M19" i="11" s="1"/>
  <c r="M20" i="11" s="1"/>
  <c r="M21" i="11" s="1"/>
  <c r="M22" i="11" s="1"/>
  <c r="M23" i="11" s="1"/>
  <c r="M24" i="11" s="1"/>
  <c r="M25" i="11" s="1"/>
  <c r="M26" i="11" s="1"/>
  <c r="K8" i="11"/>
  <c r="F9" i="18" l="1"/>
  <c r="F12" i="18" s="1"/>
  <c r="H11" i="11"/>
  <c r="E12" i="11" s="1"/>
  <c r="F11" i="11"/>
  <c r="I11" i="11" s="1"/>
  <c r="F25" i="17" l="1"/>
  <c r="G8" i="18"/>
  <c r="F12" i="11"/>
  <c r="I12" i="11" s="1"/>
  <c r="K12" i="11" s="1"/>
  <c r="H12" i="11"/>
  <c r="E13" i="11" s="1"/>
  <c r="K11" i="11"/>
  <c r="G13" i="11" l="1"/>
  <c r="F13" i="11"/>
  <c r="G9" i="18"/>
  <c r="G12" i="18" s="1"/>
  <c r="G25" i="17" l="1"/>
  <c r="H8" i="18"/>
  <c r="I13" i="11"/>
  <c r="H13" i="11"/>
  <c r="E14" i="11" s="1"/>
  <c r="F14" i="11" l="1"/>
  <c r="G14" i="11"/>
  <c r="H9" i="18"/>
  <c r="H12" i="18" s="1"/>
  <c r="K13" i="11"/>
  <c r="H25" i="17" l="1"/>
  <c r="I8" i="18"/>
  <c r="H14" i="11"/>
  <c r="E15" i="11" s="1"/>
  <c r="I14" i="11"/>
  <c r="K14" i="11" s="1"/>
  <c r="I9" i="18" l="1"/>
  <c r="I12" i="18" s="1"/>
  <c r="G15" i="11"/>
  <c r="H15" i="11" s="1"/>
  <c r="E16" i="11" s="1"/>
  <c r="F15" i="11"/>
  <c r="F16" i="11" l="1"/>
  <c r="G16" i="11"/>
  <c r="H16" i="11" s="1"/>
  <c r="E17" i="11" s="1"/>
  <c r="I25" i="17"/>
  <c r="J8" i="18"/>
  <c r="B14" i="19"/>
  <c r="C18" i="1" s="1"/>
  <c r="B15" i="19"/>
  <c r="C19" i="1" s="1"/>
  <c r="I15" i="11"/>
  <c r="K15" i="11" s="1"/>
  <c r="G17" i="11" l="1"/>
  <c r="H17" i="11" s="1"/>
  <c r="E18" i="11" s="1"/>
  <c r="F17" i="11"/>
  <c r="J10" i="18"/>
  <c r="J11" i="18"/>
  <c r="J22" i="17" s="1"/>
  <c r="I16" i="11"/>
  <c r="K16" i="11" s="1"/>
  <c r="F18" i="11" l="1"/>
  <c r="G18" i="11"/>
  <c r="H18" i="11" s="1"/>
  <c r="E19" i="11" s="1"/>
  <c r="J13" i="18"/>
  <c r="J23" i="17" s="1"/>
  <c r="J26" i="17" s="1"/>
  <c r="J21" i="17"/>
  <c r="J14" i="18"/>
  <c r="J12" i="18"/>
  <c r="I17" i="11"/>
  <c r="K17" i="11" s="1"/>
  <c r="G19" i="11" l="1"/>
  <c r="H19" i="11" s="1"/>
  <c r="E20" i="11" s="1"/>
  <c r="F19" i="11"/>
  <c r="K8" i="18"/>
  <c r="J25" i="17"/>
  <c r="J16" i="18"/>
  <c r="J15" i="18"/>
  <c r="I18" i="11"/>
  <c r="K18" i="11" s="1"/>
  <c r="F20" i="11" l="1"/>
  <c r="G20" i="11"/>
  <c r="H20" i="11" s="1"/>
  <c r="E21" i="11" s="1"/>
  <c r="K11" i="18"/>
  <c r="K22" i="17" s="1"/>
  <c r="K10" i="18"/>
  <c r="I19" i="11"/>
  <c r="K19" i="11" s="1"/>
  <c r="G21" i="11" l="1"/>
  <c r="H21" i="11" s="1"/>
  <c r="E22" i="11" s="1"/>
  <c r="F21" i="11"/>
  <c r="K13" i="18"/>
  <c r="K23" i="17" s="1"/>
  <c r="K26" i="17" s="1"/>
  <c r="K21" i="17"/>
  <c r="K14" i="18"/>
  <c r="K12" i="18"/>
  <c r="I20" i="11"/>
  <c r="K20" i="11" s="1"/>
  <c r="F22" i="11" l="1"/>
  <c r="G22" i="11"/>
  <c r="H22" i="11" s="1"/>
  <c r="E23" i="11" s="1"/>
  <c r="K16" i="18"/>
  <c r="K15" i="18"/>
  <c r="L8" i="18"/>
  <c r="K25" i="17"/>
  <c r="I21" i="11"/>
  <c r="K21" i="11" s="1"/>
  <c r="G23" i="11" l="1"/>
  <c r="H23" i="11" s="1"/>
  <c r="E24" i="11" s="1"/>
  <c r="F23" i="11"/>
  <c r="L11" i="18"/>
  <c r="L22" i="17" s="1"/>
  <c r="L10" i="18"/>
  <c r="I22" i="11"/>
  <c r="K22" i="11" s="1"/>
  <c r="F24" i="11" l="1"/>
  <c r="G24" i="11"/>
  <c r="H24" i="11" s="1"/>
  <c r="E25" i="11" s="1"/>
  <c r="L21" i="17"/>
  <c r="L14" i="18"/>
  <c r="L13" i="18"/>
  <c r="L23" i="17" s="1"/>
  <c r="L26" i="17" s="1"/>
  <c r="I23" i="11"/>
  <c r="K23" i="11" s="1"/>
  <c r="L12" i="18"/>
  <c r="G25" i="11" l="1"/>
  <c r="G26" i="11" s="1"/>
  <c r="F25" i="11"/>
  <c r="E26" i="11"/>
  <c r="L25" i="17"/>
  <c r="M8" i="18"/>
  <c r="L16" i="18"/>
  <c r="L15" i="18"/>
  <c r="I24" i="11"/>
  <c r="K24" i="11" s="1"/>
  <c r="I25" i="11" l="1"/>
  <c r="F26" i="11"/>
  <c r="M11" i="18"/>
  <c r="M22" i="17" s="1"/>
  <c r="M10" i="18"/>
  <c r="H25" i="11"/>
  <c r="H26" i="11" s="1"/>
  <c r="K25" i="11" l="1"/>
  <c r="K26" i="11" s="1"/>
  <c r="I26" i="11"/>
  <c r="M21" i="17"/>
  <c r="M14" i="18"/>
  <c r="M13" i="18"/>
  <c r="M23" i="17" s="1"/>
  <c r="M26" i="17" s="1"/>
  <c r="M12" i="18"/>
  <c r="M25" i="17" l="1"/>
  <c r="N8" i="18"/>
  <c r="M15" i="18"/>
  <c r="M16" i="18"/>
  <c r="N10" i="18" l="1"/>
  <c r="N11" i="18"/>
  <c r="N22" i="17" s="1"/>
  <c r="N14" i="18" l="1"/>
  <c r="N13" i="18"/>
  <c r="N23" i="17" s="1"/>
  <c r="N26" i="17" s="1"/>
  <c r="N21" i="17"/>
  <c r="N12" i="18"/>
  <c r="N15" i="18" l="1"/>
  <c r="N16" i="18"/>
  <c r="N25" i="17"/>
  <c r="O8" i="18"/>
  <c r="B15" i="15"/>
  <c r="D15" i="15" s="1"/>
  <c r="B10" i="19"/>
  <c r="O10" i="18" l="1"/>
  <c r="O11" i="18"/>
  <c r="O22" i="17" s="1"/>
  <c r="O13" i="18" l="1"/>
  <c r="O23" i="17" s="1"/>
  <c r="O26" i="17" s="1"/>
  <c r="O14" i="18"/>
  <c r="O21" i="17"/>
  <c r="O12" i="18"/>
  <c r="O25" i="17" l="1"/>
  <c r="P8" i="18"/>
  <c r="O15" i="18"/>
  <c r="O16" i="18"/>
  <c r="P10" i="18" l="1"/>
  <c r="P11" i="18"/>
  <c r="P22" i="17" s="1"/>
  <c r="P13" i="18" l="1"/>
  <c r="P23" i="17" s="1"/>
  <c r="P26" i="17" s="1"/>
  <c r="P21" i="17"/>
  <c r="P14" i="18"/>
  <c r="P12" i="18"/>
  <c r="P25" i="17" l="1"/>
  <c r="Q8" i="18"/>
  <c r="P15" i="18"/>
  <c r="P16" i="18"/>
  <c r="Q10" i="18" l="1"/>
  <c r="Q11" i="18"/>
  <c r="Q22" i="17" s="1"/>
  <c r="Q13" i="18" l="1"/>
  <c r="Q23" i="17" s="1"/>
  <c r="Q26" i="17" s="1"/>
  <c r="Q21" i="17"/>
  <c r="Q14" i="18"/>
  <c r="Q12" i="18"/>
  <c r="Q25" i="17" l="1"/>
  <c r="R8" i="18"/>
  <c r="Q15" i="18"/>
  <c r="Q16" i="18"/>
  <c r="R10" i="18" l="1"/>
  <c r="R11" i="18"/>
  <c r="R22" i="17" s="1"/>
  <c r="R12" i="18" l="1"/>
  <c r="R13" i="18"/>
  <c r="R23" i="17" s="1"/>
  <c r="R26" i="17" s="1"/>
  <c r="R21" i="17"/>
  <c r="R14" i="18"/>
  <c r="R16" i="18" l="1"/>
  <c r="R15" i="18"/>
  <c r="S8" i="18"/>
  <c r="R25" i="17"/>
  <c r="S11" i="18" l="1"/>
  <c r="S22" i="17" s="1"/>
  <c r="S10" i="18"/>
  <c r="S13" i="18" l="1"/>
  <c r="S23" i="17" s="1"/>
  <c r="S26" i="17" s="1"/>
  <c r="S21" i="17"/>
  <c r="S14" i="18"/>
  <c r="S12" i="18"/>
  <c r="S16" i="18" l="1"/>
  <c r="S15" i="18"/>
  <c r="T8" i="18"/>
  <c r="S25" i="17"/>
  <c r="T11" i="18" l="1"/>
  <c r="T22" i="17" s="1"/>
  <c r="T10" i="18"/>
  <c r="T21" i="17" l="1"/>
  <c r="T14" i="18"/>
  <c r="T13" i="18"/>
  <c r="T23" i="17" s="1"/>
  <c r="T26" i="17" s="1"/>
  <c r="T12" i="18"/>
  <c r="T25" i="17" l="1"/>
  <c r="U8" i="18"/>
  <c r="T16" i="18"/>
  <c r="T15" i="18"/>
  <c r="U11" i="18" l="1"/>
  <c r="U22" i="17" s="1"/>
  <c r="U10" i="18"/>
  <c r="U21" i="17" l="1"/>
  <c r="U14" i="18"/>
  <c r="U13" i="18"/>
  <c r="U23" i="17" s="1"/>
  <c r="U26" i="17" s="1"/>
  <c r="U12" i="18"/>
  <c r="U25" i="17" l="1"/>
  <c r="V8" i="18"/>
  <c r="U15" i="18"/>
  <c r="U16" i="18"/>
  <c r="V10" i="18" l="1"/>
  <c r="V11" i="18"/>
  <c r="V22" i="17" s="1"/>
  <c r="V12" i="18" l="1"/>
  <c r="V14" i="18"/>
  <c r="V13" i="18"/>
  <c r="V23" i="17" s="1"/>
  <c r="V26" i="17" s="1"/>
  <c r="V21" i="17"/>
  <c r="V15" i="18" l="1"/>
  <c r="V16" i="18"/>
  <c r="B16" i="19"/>
  <c r="V25" i="17"/>
  <c r="V28" i="17" s="1"/>
  <c r="B11" i="19"/>
  <c r="C24" i="1"/>
  <c r="B11" i="12" s="1"/>
  <c r="C25" i="1" l="1"/>
  <c r="B9" i="3"/>
  <c r="B10" i="3" s="1"/>
  <c r="B38" i="3"/>
  <c r="C38" i="3"/>
  <c r="B14" i="3" s="1"/>
  <c r="C14" i="20"/>
  <c r="B14" i="20"/>
  <c r="D14" i="20"/>
  <c r="B12" i="19"/>
  <c r="B13" i="19"/>
  <c r="C17" i="1"/>
  <c r="C16" i="1"/>
  <c r="B14" i="21" l="1"/>
  <c r="B21" i="19"/>
  <c r="C27" i="1" s="1"/>
  <c r="B16" i="15"/>
  <c r="D16" i="15" s="1"/>
  <c r="B18" i="19"/>
  <c r="E40" i="1"/>
  <c r="B12" i="12"/>
  <c r="E10" i="4"/>
  <c r="B11" i="3"/>
  <c r="B13" i="3"/>
  <c r="E42" i="1" l="1"/>
  <c r="B12" i="3"/>
  <c r="B16" i="21"/>
  <c r="E12" i="4"/>
  <c r="C21" i="1"/>
  <c r="B23" i="19"/>
  <c r="E39" i="1"/>
  <c r="E14" i="4"/>
  <c r="B22" i="19" l="1"/>
  <c r="E13" i="4"/>
  <c r="C26" i="1"/>
  <c r="E38" i="1"/>
</calcChain>
</file>

<file path=xl/sharedStrings.xml><?xml version="1.0" encoding="utf-8"?>
<sst xmlns="http://schemas.openxmlformats.org/spreadsheetml/2006/main" count="1130" uniqueCount="614">
  <si>
    <t>WCADP — 20-YEAR BANKABILITY &amp; PROJECT FINANCE SUMMARY</t>
  </si>
  <si>
    <t>Lender/investor development version. Core CAPEX remains USD25bn; Year 0 pre-development USD125m is separately identified. The model distinguishes investment returns from CFADS-based debt capacity.</t>
  </si>
  <si>
    <t>Programme</t>
  </si>
  <si>
    <t>Core CAPEX</t>
  </si>
  <si>
    <t>USD bn</t>
  </si>
  <si>
    <t>Fixed programme basis</t>
  </si>
  <si>
    <t>Total incl. Year 0</t>
  </si>
  <si>
    <t>Includes USD125m pre-development</t>
  </si>
  <si>
    <t>Airport CAPEX</t>
  </si>
  <si>
    <t>20-year development period</t>
  </si>
  <si>
    <t>Rail CAPEX</t>
  </si>
  <si>
    <t>7-year implementation</t>
  </si>
  <si>
    <t>Tram CAPEX</t>
  </si>
  <si>
    <t>5-year implementation</t>
  </si>
  <si>
    <t>Harbor CAPEX</t>
  </si>
  <si>
    <t>Operations</t>
  </si>
  <si>
    <t>20-year revenue</t>
  </si>
  <si>
    <t>Illustrative operating case</t>
  </si>
  <si>
    <t>20-year EBITDA</t>
  </si>
  <si>
    <t>Financing</t>
  </si>
  <si>
    <t>20-year CFADS</t>
  </si>
  <si>
    <t>65% of core CAPEX</t>
  </si>
  <si>
    <t>Proposed senior debt</t>
  </si>
  <si>
    <t>CFADS / target DSCR</t>
  </si>
  <si>
    <t>Indicative debt capacity</t>
  </si>
  <si>
    <t>Positive = proposed debt exceeds indicative capacity</t>
  </si>
  <si>
    <t>Credit</t>
  </si>
  <si>
    <t>Funding gap / (surplus)</t>
  </si>
  <si>
    <t>x</t>
  </si>
  <si>
    <t>Target 1.30x</t>
  </si>
  <si>
    <t>Minimum DSCR</t>
  </si>
  <si>
    <t>Modelled debt-service years</t>
  </si>
  <si>
    <t>Average DSCR</t>
  </si>
  <si>
    <t>Indicative only</t>
  </si>
  <si>
    <t>LLCR proxy</t>
  </si>
  <si>
    <t>Returns</t>
  </si>
  <si>
    <t>PLCR proxy</t>
  </si>
  <si>
    <t>%</t>
  </si>
  <si>
    <t>Including terminal value</t>
  </si>
  <si>
    <t>Project IRR</t>
  </si>
  <si>
    <t>After debt service</t>
  </si>
  <si>
    <t>Equity IRR</t>
  </si>
  <si>
    <t>After debt service / equity funding</t>
  </si>
  <si>
    <t>Residual</t>
  </si>
  <si>
    <t>Project NPV</t>
  </si>
  <si>
    <t>Illustrative residual value</t>
  </si>
  <si>
    <t>Year 20 terminal value</t>
  </si>
  <si>
    <t>Deducted from equity terminal proceeds at Year 20</t>
  </si>
  <si>
    <t>Year 20 closing debt</t>
  </si>
  <si>
    <t>Outstanding balance deducted from Year 20 terminal value</t>
  </si>
  <si>
    <t>Status</t>
  </si>
  <si>
    <t>Net terminal value to equity</t>
  </si>
  <si>
    <t>Year 20 terminal value less Year 20 closing debt</t>
  </si>
  <si>
    <t>Simple ROI</t>
  </si>
  <si>
    <t>Net profit / equity invested</t>
  </si>
  <si>
    <t>Overall indicative status</t>
  </si>
  <si>
    <t>KEY BANKABILITY QUESTIONS</t>
  </si>
  <si>
    <t>1. Is there sufficient contracted / regulated revenue to support debt service?</t>
  </si>
  <si>
    <t>2. What minimum DSCR is achievable after independent traffic and cost validation?</t>
  </si>
  <si>
    <t>3. Who bears construction cost overruns and completion risk?</t>
  </si>
  <si>
    <t>4. Who bears demand / revenue risk for airport, rail, tram and harbour assets?</t>
  </si>
  <si>
    <t>5. What concession / asset life supports the proposed 25-year debt tenor?</t>
  </si>
  <si>
    <t>6. What security package, guarantees, availability payments or minimum-revenue mechanisms are available?</t>
  </si>
  <si>
    <t>7. What is the lender case if terminal value is excluded?</t>
  </si>
  <si>
    <t>Investor Returns</t>
  </si>
  <si>
    <t>Metric</t>
  </si>
  <si>
    <t>Unit</t>
  </si>
  <si>
    <t>Comment</t>
  </si>
  <si>
    <t>Cumulative net profit / total equity invested</t>
  </si>
  <si>
    <t>Equity Multiple / MOIC</t>
  </si>
  <si>
    <t>Total equity proceeds / equity invested</t>
  </si>
  <si>
    <t>Annualised equity return</t>
  </si>
  <si>
    <t>Unlevered project return</t>
  </si>
  <si>
    <t>Net profit to equity</t>
  </si>
  <si>
    <t>Total equity proceeds less total equity invested</t>
  </si>
  <si>
    <t>WCADP — TARGET PROFITABILITY / BANKABILITY CASE — 20-YEAR</t>
  </si>
  <si>
    <t>Purpose: show the illustrative operating assumptions required to maintain a positive investment case over a 20-year horizon without changing the USD25bn core CAPEX.</t>
  </si>
  <si>
    <t>Key change</t>
  </si>
  <si>
    <t>Current illustrative case</t>
  </si>
  <si>
    <t>Target case</t>
  </si>
  <si>
    <t>Reason</t>
  </si>
  <si>
    <t>Airport passengers Y1 (m)</t>
  </si>
  <si>
    <t>Higher initial market capture</t>
  </si>
  <si>
    <t>Airport pax growth</t>
  </si>
  <si>
    <t>Faster ramp to mature demand</t>
  </si>
  <si>
    <t>Airport aero yield (USD/pax)</t>
  </si>
  <si>
    <t>Higher aeronautical revenue yield</t>
  </si>
  <si>
    <t>Airport cargo Y1 (m tonnes)</t>
  </si>
  <si>
    <t>Stronger logistics market</t>
  </si>
  <si>
    <t>Airport cargo yield (USD/t)</t>
  </si>
  <si>
    <t>Higher cargo/logistics monetisation</t>
  </si>
  <si>
    <t>Airport non-aero revenue %</t>
  </si>
  <si>
    <t>Stronger retail, parking, concessions and commercial income</t>
  </si>
  <si>
    <t>Rail passengers Y1 (m)</t>
  </si>
  <si>
    <t>Higher regional/intercity demand</t>
  </si>
  <si>
    <t>Rail average fare (USD)</t>
  </si>
  <si>
    <t>Improved farebox yield</t>
  </si>
  <si>
    <t>Rail freight Y1 (m tonnes)</t>
  </si>
  <si>
    <t>Higher freight utilisation</t>
  </si>
  <si>
    <t>Rail freight yield (USD/t)</t>
  </si>
  <si>
    <t>Higher freight monetisation</t>
  </si>
  <si>
    <t>Rail commercial revenue %</t>
  </si>
  <si>
    <t>Station retail/advertising/concessions</t>
  </si>
  <si>
    <t>Tram passengers Y1 (m)</t>
  </si>
  <si>
    <t>Higher network utilisation</t>
  </si>
  <si>
    <t>Tram average fare (USD)</t>
  </si>
  <si>
    <t>Improved farebox recovery</t>
  </si>
  <si>
    <t>Harbour passengers Y1 (m)</t>
  </si>
  <si>
    <t>Higher passenger/cruise activity</t>
  </si>
  <si>
    <t>Harbour revenue/passenger (USD)</t>
  </si>
  <si>
    <t>Higher port/passenger monetisation</t>
  </si>
  <si>
    <t>Airport OPEX % revenue</t>
  </si>
  <si>
    <t>Efficiency / commercial scale</t>
  </si>
  <si>
    <t>Rail OPEX % revenue</t>
  </si>
  <si>
    <t>Efficiency / higher utilisation</t>
  </si>
  <si>
    <t>Tram OPEX % revenue</t>
  </si>
  <si>
    <t>Improved operating efficiency</t>
  </si>
  <si>
    <t>Harbour OPEX % revenue</t>
  </si>
  <si>
    <t>Interpretation</t>
  </si>
  <si>
    <t>The USD25bn core CAPEX and the 7-year rail / 5-year tram / 7-year harbour implementation periods are unchanged; airport development extends across the 20-year horizon.</t>
  </si>
  <si>
    <t>The USD25bn core CAPEX and the 7-year rail / 5-year tram / 7-year harbour implementation periods are unchanged.</t>
  </si>
  <si>
    <t>A bankable case should ultimately be supported by independent demand studies, tariff studies, technical cost plans, tax/legal advice, concession terms and lender term sheets.</t>
  </si>
  <si>
    <t>WCADP — INVESTOR ROI &amp; RETURNS — 20-YEAR MODEL</t>
  </si>
  <si>
    <t>This section presents the investor-facing return metrics. ROI is shown separately from IRR because they measure different things.</t>
  </si>
  <si>
    <t>INVESTOR RETURN METRIC</t>
  </si>
  <si>
    <t>VALUE</t>
  </si>
  <si>
    <t>UNIT</t>
  </si>
  <si>
    <t>COMMENT</t>
  </si>
  <si>
    <t>Fixed programme CAPEX</t>
  </si>
  <si>
    <t>Total programme incl. Year 0</t>
  </si>
  <si>
    <t>Total equity funding over model horizon</t>
  </si>
  <si>
    <t>Positive equity contributions only; excludes terminal proceeds</t>
  </si>
  <si>
    <t>Total cash distributions to equity before terminal</t>
  </si>
  <si>
    <t>Cash flow presentation depends on the integrated bankability schedule</t>
  </si>
  <si>
    <t>Year 20 terminal value less outstanding debt</t>
  </si>
  <si>
    <t>Total equity proceeds</t>
  </si>
  <si>
    <t>Pre-terminal distributions plus net terminal proceeds</t>
  </si>
  <si>
    <t>Net profit divided by total equity invested</t>
  </si>
  <si>
    <t>Total equity proceeds divided by equity invested</t>
  </si>
  <si>
    <t>Time-weighted annualised equity return</t>
  </si>
  <si>
    <t>Project NPV @ discount rate</t>
  </si>
  <si>
    <t>Unlevered NPV</t>
  </si>
  <si>
    <t>Y0</t>
  </si>
  <si>
    <t>Y1</t>
  </si>
  <si>
    <t>Answers: 'How much profit is generated relative to the equity invested?'</t>
  </si>
  <si>
    <t>Y2</t>
  </si>
  <si>
    <t>Answers: 'What annual return does the timing of cash flows produce?'</t>
  </si>
  <si>
    <t>Y3</t>
  </si>
  <si>
    <t>Answers: 'How many dollars are returned for each dollar invested?'</t>
  </si>
  <si>
    <t>Y4</t>
  </si>
  <si>
    <t>Y5</t>
  </si>
  <si>
    <t>Y6</t>
  </si>
  <si>
    <t>Y7</t>
  </si>
  <si>
    <t>Y8</t>
  </si>
  <si>
    <t>Y9</t>
  </si>
  <si>
    <t>Y10</t>
  </si>
  <si>
    <t>Y11</t>
  </si>
  <si>
    <t>Y20</t>
  </si>
  <si>
    <t>Y13</t>
  </si>
  <si>
    <t>Y14</t>
  </si>
  <si>
    <t>Y15</t>
  </si>
  <si>
    <t>Y16</t>
  </si>
  <si>
    <t>Y17</t>
  </si>
  <si>
    <t>Y18</t>
  </si>
  <si>
    <t>Y19</t>
  </si>
  <si>
    <t>All Copyright reserved by MBH International Sp. Z o.o. Poland &amp; MBH Architects (Pty) Ltd South Africa</t>
  </si>
  <si>
    <t>WCADP — 20-YEAR PROJECT FINANCE &amp; BANKABILITY MODEL</t>
  </si>
  <si>
    <t>$25B core transport infrastructure + $125M Year 0 development | Bankability version with CFADS, debt sizing, DSCR, LLCR/PLCR proxies and downside testing</t>
  </si>
  <si>
    <t>KEY PROGRAMME</t>
  </si>
  <si>
    <t>BANKABILITY OUTPUTS</t>
  </si>
  <si>
    <t>Year 0</t>
  </si>
  <si>
    <t>Total incl Year 0</t>
  </si>
  <si>
    <t>Airport</t>
  </si>
  <si>
    <t>20 years</t>
  </si>
  <si>
    <t>Rail</t>
  </si>
  <si>
    <t>Tram</t>
  </si>
  <si>
    <t>Harbor</t>
  </si>
  <si>
    <t>7 years</t>
  </si>
  <si>
    <t>COMPONENT DELIVERY PERIODS</t>
  </si>
  <si>
    <t>Equity MOIC</t>
  </si>
  <si>
    <t>Inter-City Rail</t>
  </si>
  <si>
    <t>Tram Network</t>
  </si>
  <si>
    <t>5 years</t>
  </si>
  <si>
    <t>STATUS</t>
  </si>
  <si>
    <t>Overall model horizon</t>
  </si>
  <si>
    <t>CAPEX basis</t>
  </si>
  <si>
    <t>Source-derived</t>
  </si>
  <si>
    <t>Revenue categories</t>
  </si>
  <si>
    <t>Source-derived categories + illustrative volumes/yields</t>
  </si>
  <si>
    <t>Profitability</t>
  </si>
  <si>
    <t>Illustrative investment case</t>
  </si>
  <si>
    <t>Bankability</t>
  </si>
  <si>
    <t>NOT BANKABLE UNTIL VALIDATED</t>
  </si>
  <si>
    <t>IMPORTANT MODELLING NOTE</t>
  </si>
  <si>
    <t>This version reduces the investment horizon from 20 years to 20 years while retaining the specified component delivery periods: airport 20 years, rail 7 years, tram 5 years and harbor 7 years. Core infrastructure CAPEX remains fixed at USD25.0 billion, with USD125 million of Year 0 development shown separately. Revenue, OPEX, financing and terminal-value assumptions remain illustrative and require independent validation.</t>
  </si>
  <si>
    <t>This version extends the investment horizon from 20 years to 20 years while retaining the specified component delivery periods: airport 20 years, rail 7 years, tram 5 years and harbor 7 years. Core infrastructure CAPEX remains fixed at USD25.0 billion, with USD125 million of Year 0 development shown separately. Revenue, OPEX, financing and terminal-value assumptions remain illustrative and require independent validation.</t>
  </si>
  <si>
    <t>WCADP — 20-YEAR CORE INFRASTRUCTURE CAPEX</t>
  </si>
  <si>
    <t>USD billions. Equal annual spend within each specified delivery phase; overall model horizon is 20 years.</t>
  </si>
  <si>
    <t>Year</t>
  </si>
  <si>
    <t>Pre-Development</t>
  </si>
  <si>
    <t>Annual CAPEX</t>
  </si>
  <si>
    <t>Cumulative CAPEX</t>
  </si>
  <si>
    <t>Programme Phase</t>
  </si>
  <si>
    <t>Year 0 — Pre-Development</t>
  </si>
  <si>
    <t>Phase 1 — Years 1–5</t>
  </si>
  <si>
    <t>Phase 2 — Years 6–7</t>
  </si>
  <si>
    <t>Phase 3 — Years 8–20 (Airport)</t>
  </si>
  <si>
    <t>TOTAL</t>
  </si>
  <si>
    <t>WCADP — 20-YEAR PROJECT FINANCE INVESTMENT CASE</t>
  </si>
  <si>
    <t>Illustrative target operating assumptions have been calibrated to produce a positive investment case while retaining USD25bn core CAPEX. They are NOT bankable inputs until independently validated.</t>
  </si>
  <si>
    <t>Input</t>
  </si>
  <si>
    <t>Value</t>
  </si>
  <si>
    <t>Units</t>
  </si>
  <si>
    <t>Basis</t>
  </si>
  <si>
    <t>Year 0 pre-development</t>
  </si>
  <si>
    <t>Source</t>
  </si>
  <si>
    <t>Upper end of documented USD100–125m range.</t>
  </si>
  <si>
    <t>Documented.</t>
  </si>
  <si>
    <t>Inter-City Rail CAPEX</t>
  </si>
  <si>
    <t>Harbor re-purposing CAPEX</t>
  </si>
  <si>
    <t>Calculated</t>
  </si>
  <si>
    <t>Airport + rail + tram + harbor.</t>
  </si>
  <si>
    <t>Core CAPEX + Year 0.</t>
  </si>
  <si>
    <t>Airport development period</t>
  </si>
  <si>
    <t>years</t>
  </si>
  <si>
    <t>User / programme</t>
  </si>
  <si>
    <t>20-year airport development / investment period.</t>
  </si>
  <si>
    <t>Rail construction period</t>
  </si>
  <si>
    <t>2 + 3 + 2 years.</t>
  </si>
  <si>
    <t>Tram implementation period</t>
  </si>
  <si>
    <t>User</t>
  </si>
  <si>
    <t>1 x 5 years.</t>
  </si>
  <si>
    <t>Harbor implementation period</t>
  </si>
  <si>
    <t>MODEL HORIZON</t>
  </si>
  <si>
    <t>User / investor request</t>
  </si>
  <si>
    <t>Overall model horizon extended from 20 years to 20 years; component delivery periods retained.</t>
  </si>
  <si>
    <t>AIRPORT</t>
  </si>
  <si>
    <t>Airport passengers Y1</t>
  </si>
  <si>
    <t>m pax</t>
  </si>
  <si>
    <t>Illustrative target case</t>
  </si>
  <si>
    <t>Target assumption to produce a positive investment case; requires independent traffic, tariff and operating-cost validation.</t>
  </si>
  <si>
    <t>Airport aero yield</t>
  </si>
  <si>
    <t>USD/pax</t>
  </si>
  <si>
    <t>Airport cargo Y1</t>
  </si>
  <si>
    <t>m tonnes</t>
  </si>
  <si>
    <t>Airport cargo growth</t>
  </si>
  <si>
    <t>Airport cargo yield</t>
  </si>
  <si>
    <t>USD/tonne</t>
  </si>
  <si>
    <t>Airport non-aero revenue % aero/cargo</t>
  </si>
  <si>
    <t>INTER CITY EXPRESS</t>
  </si>
  <si>
    <t>Rail passengers Y1</t>
  </si>
  <si>
    <t>m journeys</t>
  </si>
  <si>
    <t>Rail pax growth</t>
  </si>
  <si>
    <t>Rail average fare</t>
  </si>
  <si>
    <t>USD/journey</t>
  </si>
  <si>
    <t>Rail freight Y1</t>
  </si>
  <si>
    <t>Rail freight growth</t>
  </si>
  <si>
    <t>Rail freight yield</t>
  </si>
  <si>
    <t>Rail commercial revenue % core rail revenue</t>
  </si>
  <si>
    <t>TRAM NETWORK</t>
  </si>
  <si>
    <t>Tram passengers Y1</t>
  </si>
  <si>
    <t>Tram pax growth</t>
  </si>
  <si>
    <t>Tram average fare</t>
  </si>
  <si>
    <t>Tram ancillary % fare revenue</t>
  </si>
  <si>
    <t>HARBOR</t>
  </si>
  <si>
    <t>Harbor passengers Y1</t>
  </si>
  <si>
    <t>m passengers</t>
  </si>
  <si>
    <t>Harbor pax growth</t>
  </si>
  <si>
    <t>Harbor revenue/passenger</t>
  </si>
  <si>
    <t>USD/passenger</t>
  </si>
  <si>
    <t>Harbor ancillary % passenger revenue</t>
  </si>
  <si>
    <t>OPEX</t>
  </si>
  <si>
    <t>Harbor OPEX % revenue</t>
  </si>
  <si>
    <t>Maintenance CAPEX % revenue</t>
  </si>
  <si>
    <t>Tax rate</t>
  </si>
  <si>
    <t>Inflation</t>
  </si>
  <si>
    <t>Debt share of core CAPEX</t>
  </si>
  <si>
    <t>Illustrative</t>
  </si>
  <si>
    <t>Indicative infrastructure financing.</t>
  </si>
  <si>
    <t>Debt interest rate</t>
  </si>
  <si>
    <t>Debt tenor</t>
  </si>
  <si>
    <t>Long-dated infrastructure debt.</t>
  </si>
  <si>
    <t>Grace period</t>
  </si>
  <si>
    <t>Construction/initial ramp.</t>
  </si>
  <si>
    <t>Discount rate</t>
  </si>
  <si>
    <t>Terminal EBITDA multiple</t>
  </si>
  <si>
    <t>Terminal value haircut</t>
  </si>
  <si>
    <t>Conservative haircut to terminal value.</t>
  </si>
  <si>
    <t>Terminal value included?</t>
  </si>
  <si>
    <t>1/0</t>
  </si>
  <si>
    <t>Model control</t>
  </si>
  <si>
    <t>1 = include residual value in Year 20; 0 = exclude.</t>
  </si>
  <si>
    <t>Availability / viability support</t>
  </si>
  <si>
    <t>USD bn/year</t>
  </si>
  <si>
    <t>Not assumed</t>
  </si>
  <si>
    <t>No government availability payment included.</t>
  </si>
  <si>
    <t>BANKABILITY / LENDER ASSUMPTIONS</t>
  </si>
  <si>
    <t>Section</t>
  </si>
  <si>
    <t>Editable assumptions for lender-grade sizing; validate with financing advisors.</t>
  </si>
  <si>
    <t>Target minimum DSCR</t>
  </si>
  <si>
    <t>Common initial sizing target; final lender covenant to be negotiated.</t>
  </si>
  <si>
    <t>Minimum DSCR covenant</t>
  </si>
  <si>
    <t>Trigger level for downside monitoring.</t>
  </si>
  <si>
    <t>Debt sizing method</t>
  </si>
  <si>
    <t>CFADS / DSCR</t>
  </si>
  <si>
    <t>text</t>
  </si>
  <si>
    <t>Debt capacity is assessed against CFADS rather than assumed gearing alone.</t>
  </si>
  <si>
    <t>Debt commitment fee</t>
  </si>
  <si>
    <t>Applied to average undrawn committed debt during construction.</t>
  </si>
  <si>
    <t>Financing fee</t>
  </si>
  <si>
    <t>Upfront fee on initial committed senior debt.</t>
  </si>
  <si>
    <t>Working capital % revenue</t>
  </si>
  <si>
    <t>Annual working-capital investment proxy.</t>
  </si>
  <si>
    <t>DSRA months</t>
  </si>
  <si>
    <t>months</t>
  </si>
  <si>
    <t>Debt service reserve account sizing assumption.</t>
  </si>
  <si>
    <t>Debt service start year</t>
  </si>
  <si>
    <t>year</t>
  </si>
  <si>
    <t>Debt service starts after the 7-year construction/ramp period.</t>
  </si>
  <si>
    <t>Construction interest capitalised?</t>
  </si>
  <si>
    <t>1 = interest during construction is capitalised into debt.</t>
  </si>
  <si>
    <t>Debt amortisation profile</t>
  </si>
  <si>
    <t>Straight-line / bullet</t>
  </si>
  <si>
    <t>Long-dated infrastructure debt; 20-year model horizon with debt service continuing through the model period.</t>
  </si>
  <si>
    <t>Illustrative debt tenor; final debt tenor and amortisation profile subject to lender structuring.</t>
  </si>
  <si>
    <t>Refinancing / exit at Year 20</t>
  </si>
  <si>
    <t>0 = no refinancing assumed; outstanding debt is deducted from equity terminal value.</t>
  </si>
  <si>
    <t>Terminal value basis</t>
  </si>
  <si>
    <t>EBITDA multiple</t>
  </si>
  <si>
    <t>Requires independent valuation / concession analysis.</t>
  </si>
  <si>
    <t>WCADP — SCENARIO FRAMEWORK</t>
  </si>
  <si>
    <t>The model does not force profitability; it tests whether the stated investment case can support it.</t>
  </si>
  <si>
    <t>Scenario</t>
  </si>
  <si>
    <t>Demand</t>
  </si>
  <si>
    <t>Yield</t>
  </si>
  <si>
    <t>CAPEX</t>
  </si>
  <si>
    <t>Terminal Multiple</t>
  </si>
  <si>
    <t>Availability Payment</t>
  </si>
  <si>
    <t>Downside</t>
  </si>
  <si>
    <t>Stress case</t>
  </si>
  <si>
    <t>Base / Investment Case</t>
  </si>
  <si>
    <t>Target central case; calibrated for positive project economics, subject to independent validation.</t>
  </si>
  <si>
    <t>Upside</t>
  </si>
  <si>
    <t>Upside case</t>
  </si>
  <si>
    <t>Selected Scenario</t>
  </si>
  <si>
    <t>WCADP — 20-YEAR OPERATING MODEL</t>
  </si>
  <si>
    <t>USD billions unless otherwise stated. Revenue, OPEX and EBITDA are illustrative operating assumptions and require independent validation.</t>
  </si>
  <si>
    <t>Airport Revenue</t>
  </si>
  <si>
    <t>Rail Revenue</t>
  </si>
  <si>
    <t>Tram Revenue</t>
  </si>
  <si>
    <t>Harbor Revenue</t>
  </si>
  <si>
    <t>Total Revenue</t>
  </si>
  <si>
    <t>Airport OPEX</t>
  </si>
  <si>
    <t>Rail OPEX</t>
  </si>
  <si>
    <t>Tram OPEX</t>
  </si>
  <si>
    <t>Harbor OPEX</t>
  </si>
  <si>
    <t>Total OPEX</t>
  </si>
  <si>
    <t>EBITDA</t>
  </si>
  <si>
    <t>EBITDA Margin</t>
  </si>
  <si>
    <t>WCADP — PROJECT CASH FLOW &amp; TERMINAL VALUE — 20-YEAR MODEL</t>
  </si>
  <si>
    <t>USD billions. Terminal value represents residual value of long-life infrastructure at the end of Year 20 and is separately identified.</t>
  </si>
  <si>
    <t>Revenue</t>
  </si>
  <si>
    <t>Maintenance CAPEX</t>
  </si>
  <si>
    <t>Development CAPEX</t>
  </si>
  <si>
    <t>Tax</t>
  </si>
  <si>
    <t>Terminal Value</t>
  </si>
  <si>
    <t>Unlevered FCF</t>
  </si>
  <si>
    <t>Discount Factor</t>
  </si>
  <si>
    <t>PV FCF</t>
  </si>
  <si>
    <t>Cumulative FCF</t>
  </si>
  <si>
    <t>Terminal Value Note</t>
  </si>
  <si>
    <t>Residual infrastructure/concession value; illustrative terminal EBITDA multiple</t>
  </si>
  <si>
    <t>—</t>
  </si>
  <si>
    <t>WCADP — INDICATIVE PROJECT FINANCING — 20-YEAR MODEL</t>
  </si>
  <si>
    <t>Legacy indicative financing view retained for continuity. See 'Debt Service' for the bankability-oriented debt schedule, DSCR testing and Year 20 outstanding balance.</t>
  </si>
  <si>
    <t>Debt Draw</t>
  </si>
  <si>
    <t>Equity Draw</t>
  </si>
  <si>
    <t>Opening Debt</t>
  </si>
  <si>
    <t>Interest</t>
  </si>
  <si>
    <t>Principal</t>
  </si>
  <si>
    <t>Closing Debt</t>
  </si>
  <si>
    <t>Debt Service</t>
  </si>
  <si>
    <t>CFADS</t>
  </si>
  <si>
    <t>DSCR</t>
  </si>
  <si>
    <t>Equity Cash Flow</t>
  </si>
  <si>
    <t>Cumulative Equity</t>
  </si>
  <si>
    <t>TOTAL / END</t>
  </si>
  <si>
    <t>WCADP — INVESTMENT RETURNS — 20-YEAR MODEL</t>
  </si>
  <si>
    <t>Bankability-oriented returns are shown in the dedicated Bankability Summary / Credit Metrics sheets; this legacy sheet is retained for continuity.</t>
  </si>
  <si>
    <t>Including Terminal Value</t>
  </si>
  <si>
    <t>Excluding Terminal Value</t>
  </si>
  <si>
    <t>Source + Year 0</t>
  </si>
  <si>
    <t>Terminal value at Year 20</t>
  </si>
  <si>
    <t>0</t>
  </si>
  <si>
    <t>Illustrative residual value at Year 20</t>
  </si>
  <si>
    <t>NPV @ 8.5%</t>
  </si>
  <si>
    <t>Peak debt</t>
  </si>
  <si>
    <t>Year 20 debt remains outstanding where debt tenor exceeds the 20-year model horizon.</t>
  </si>
  <si>
    <t>Indicative coverage under the bankability debt schedule.</t>
  </si>
  <si>
    <t>Project IRR — incl. terminal value</t>
  </si>
  <si>
    <t>A positive IRR depends on the assumed operating ramp and residual value; neither is yet independently validated.</t>
  </si>
  <si>
    <t>Project IRR — excluding terminal value</t>
  </si>
  <si>
    <t>Important</t>
  </si>
  <si>
    <t>Traffic, tariffs, OPEX, CAPEX and terminal valuation are not yet independently validated.</t>
  </si>
  <si>
    <t>See Bankability Summary, Bankability CF, Debt Service and Credit Metrics for lender-oriented analysis.</t>
  </si>
  <si>
    <t>Unlevered FCF ex terminal</t>
  </si>
  <si>
    <t>WCADP — SOURCES &amp; USES</t>
  </si>
  <si>
    <t>Illustrative financing structure; final capital stack must be determined through PPP and lender negotiations. Core CAPEX remains USD25.0bn.</t>
  </si>
  <si>
    <t>Use</t>
  </si>
  <si>
    <t>Debt Source</t>
  </si>
  <si>
    <t>Equity Source</t>
  </si>
  <si>
    <t>Infrastructure debt</t>
  </si>
  <si>
    <t>Institutional/sponsor equity</t>
  </si>
  <si>
    <t>Year 0 development</t>
  </si>
  <si>
    <t>Development equity</t>
  </si>
  <si>
    <t>Financing fees / commitment costs</t>
  </si>
  <si>
    <t>Funding / financing costs</t>
  </si>
  <si>
    <t>Sponsor / equity funding</t>
  </si>
  <si>
    <t>Core debt</t>
  </si>
  <si>
    <t>Core equity</t>
  </si>
  <si>
    <t>Total incl. Year 0 + financing costs</t>
  </si>
  <si>
    <t>Senior debt</t>
  </si>
  <si>
    <t>Total equity</t>
  </si>
  <si>
    <t>WCADP — PROFITABILITY SENSITIVITY</t>
  </si>
  <si>
    <t>Sensitivity is intended to show how dependent returns are on demand, CAPEX and residual value assumptions over the 20-year investment horizon.</t>
  </si>
  <si>
    <t>Case</t>
  </si>
  <si>
    <t>Indicative Interpretation</t>
  </si>
  <si>
    <t>Required Validation</t>
  </si>
  <si>
    <t>Likely stressed</t>
  </si>
  <si>
    <t>Traffic + cost studies</t>
  </si>
  <si>
    <t>Independent bankable model using 20-year horizon</t>
  </si>
  <si>
    <t>Strong case</t>
  </si>
  <si>
    <t>Market validation</t>
  </si>
  <si>
    <t>Critical sensitivities</t>
  </si>
  <si>
    <t>Passenger demand -20% / base / +20%</t>
  </si>
  <si>
    <t>Cargo volume -20% / base / +20%</t>
  </si>
  <si>
    <t>CAPEX overrun +0% / +10% / +20%</t>
  </si>
  <si>
    <t>Yield -10% / base / +10%</t>
  </si>
  <si>
    <t>Interest rate +0% / +200bp / +400bp</t>
  </si>
  <si>
    <t>Construction delay 0 / 1 / 2 years</t>
  </si>
  <si>
    <t>Terminal multiple 10x / 12x / 14x / 16x</t>
  </si>
  <si>
    <t>Terminal value excluded entirely</t>
  </si>
  <si>
    <t>WCADP — MODEL INTEGRITY CHECKS</t>
  </si>
  <si>
    <t>Core CAPEX reconciliation and 20-year horizon transparency checks.</t>
  </si>
  <si>
    <t>Check</t>
  </si>
  <si>
    <t>Model Value</t>
  </si>
  <si>
    <t>Target</t>
  </si>
  <si>
    <t>Notes</t>
  </si>
  <si>
    <t>Terminal value separately identified</t>
  </si>
  <si>
    <t>Value is intentionally separated from operating cash flow and realised at Year 20.</t>
  </si>
  <si>
    <t>Model horizon</t>
  </si>
  <si>
    <t>Overall model horizon is 20 years.</t>
  </si>
  <si>
    <t>Proposed debt = 65% core CAPEX</t>
  </si>
  <si>
    <t>Year 0 is equity-funded; senior debt is 65% of core CAPEX.</t>
  </si>
  <si>
    <t>Year 20 debt balance disclosed</t>
  </si>
  <si>
    <t>&gt;=0</t>
  </si>
  <si>
    <t>Outstanding debt is explicitly shown rather than assumed repaid.</t>
  </si>
  <si>
    <t>Minimum DSCR diagnostic</t>
  </si>
  <si>
    <t>&gt;=1.30x</t>
  </si>
  <si>
    <t>A warning is expected if CFADS cannot support proposed debt.</t>
  </si>
  <si>
    <t>Debt capacity vs proposed debt</t>
  </si>
  <si>
    <t>&lt;= proposed debt</t>
  </si>
  <si>
    <t>Positive capacity indicates proposed gearing can be supported in this simplified sizing test.</t>
  </si>
  <si>
    <t>Terminal value excluded test</t>
  </si>
  <si>
    <t>Terminal value remains separately identified.</t>
  </si>
  <si>
    <t>WCADP — BANKABILITY MODEL GUIDE</t>
  </si>
  <si>
    <t>Purpose: convert the existing 20-year investment model into an investor/lender-oriented project-finance model. Illustrative assumptions remain clearly labelled and must be independently validated.</t>
  </si>
  <si>
    <t>1. Bankability Summary</t>
  </si>
  <si>
    <t>Executive view of CAPEX, revenue, EBITDA, CFADS, debt capacity, DSCR, project/equity returns and key warnings.</t>
  </si>
  <si>
    <t>2. Bankability CF</t>
  </si>
  <si>
    <t>Integrated 20-year unlevered cash flow and CFADS waterfall, including terminal value and net terminal value after debt.</t>
  </si>
  <si>
    <t>3. Debt Service</t>
  </si>
  <si>
    <t>Indicative senior debt drawdown, capitalised construction interest, amortisation, debt service, closing debt and equity cash flow.</t>
  </si>
  <si>
    <t>4. Credit Metrics</t>
  </si>
  <si>
    <t>DSCR, LLCR proxy, PLCR proxy, peak debt, debt/EBITDA, debt capacity and funding gap.</t>
  </si>
  <si>
    <t>5. Scenario Analysis</t>
  </si>
  <si>
    <t>Downside / base / upside operating and financing cases using the existing scenario framework.</t>
  </si>
  <si>
    <t>6. Sensitivity Matrix</t>
  </si>
  <si>
    <t>Key sensitivities around demand, yield, OPEX, CAPEX, interest rates and terminal multiple.</t>
  </si>
  <si>
    <t>This is a bankability-development model, not a lender credit approval. Traffic studies, engineering cost estimates, tariff studies, tax/legal opinions, concession terms and financing term sheets are required before reliance by lenders.</t>
  </si>
  <si>
    <t>Debt philosophy</t>
  </si>
  <si>
    <t>The model no longer treats 65% gearing as proof of bankability. It calculates indicative debt capacity from CFADS and the target DSCR, then compares that capacity with the proposed 65% debt requirement.</t>
  </si>
  <si>
    <t>Terminal value</t>
  </si>
  <si>
    <t>Terminal value is shown separately and is not allowed to mask weak operating cash flow. Equity terminal proceeds are reduced by outstanding debt at Year 20.</t>
  </si>
  <si>
    <t>Year 20 limitation</t>
  </si>
  <si>
    <t>Because the requested investment horizon is 20 years, any debt tenor longer than 20 years produces an explicit Year 20 balloon / outstanding balance rather than pretending the debt has been fully repaid.</t>
  </si>
  <si>
    <t>Financing costs</t>
  </si>
  <si>
    <t>Upfront financing fees and undrawn commitment fees are now visible and funded by equity in the integrated bankability cash flow.</t>
  </si>
  <si>
    <t>WCADP — INTEGRATED BANKABILITY CASH FLOW — 20-YEAR MODEL</t>
  </si>
  <si>
    <t>USD billions unless otherwise stated. Base case uses existing illustrative assumptions; scenario multipliers can be changed on the Scenario Analysis sheet.</t>
  </si>
  <si>
    <t>CAPEX - Airport</t>
  </si>
  <si>
    <t>CAPEX - Rail</t>
  </si>
  <si>
    <t>CAPEX - Tram</t>
  </si>
  <si>
    <t>CAPEX - Harbor</t>
  </si>
  <si>
    <t>Total Development CAPEX</t>
  </si>
  <si>
    <t>Working Capital Investment</t>
  </si>
  <si>
    <t>Cash Tax</t>
  </si>
  <si>
    <t>Gross Project Cash Flow</t>
  </si>
  <si>
    <t>Interest Paid</t>
  </si>
  <si>
    <t>Principal Repaid</t>
  </si>
  <si>
    <t>Net Debt Service</t>
  </si>
  <si>
    <t>Unlevered Project Cash Flow</t>
  </si>
  <si>
    <t>Debt Service Coverage Ratio</t>
  </si>
  <si>
    <t>Net Terminal Value to Equity</t>
  </si>
  <si>
    <t>WCADP — INDICATIVE SENIOR DEBT SERVICE — 20-YEAR MODEL</t>
  </si>
  <si>
    <t>65% debt is treated as an initial funding requirement, not as proof of bankability. Construction interest is capitalised; operating-period interest is paid.</t>
  </si>
  <si>
    <t>CAPEX Eligible for Debt</t>
  </si>
  <si>
    <t>Capitalised Interest</t>
  </si>
  <si>
    <t>Cash Interest</t>
  </si>
  <si>
    <t>Total Debt Service</t>
  </si>
  <si>
    <t>Cash Debt Service</t>
  </si>
  <si>
    <t>Debt Service Reserve</t>
  </si>
  <si>
    <t>Equity Funding</t>
  </si>
  <si>
    <t>Undrawn debt commitment</t>
  </si>
  <si>
    <t>Commitment fee</t>
  </si>
  <si>
    <t>Upfront financing fee</t>
  </si>
  <si>
    <t>WCADP — LENDER CREDIT &amp; BANKABILITY METRICS — 20-YEAR</t>
  </si>
  <si>
    <t>Indicative metrics only. Final lender covenants and debt sizing require independent technical, traffic, legal, tax and financing due diligence.</t>
  </si>
  <si>
    <t>Reference / Target</t>
  </si>
  <si>
    <t>USD 25.0bn</t>
  </si>
  <si>
    <t>USD 25.125bn</t>
  </si>
  <si>
    <t>Includes pre-development</t>
  </si>
  <si>
    <t>Indicative funding requirement</t>
  </si>
  <si>
    <t>Indicative debt capacity at target DSCR</t>
  </si>
  <si>
    <t>Target DSCR 1.30x</t>
  </si>
  <si>
    <t>PV of forecast CFADS after service start, simplified</t>
  </si>
  <si>
    <t>Indicative funding gap / (surplus)</t>
  </si>
  <si>
    <t>Target &lt;= 0</t>
  </si>
  <si>
    <t>Positive means proposed debt exceeds indicative CFADS-based capacity</t>
  </si>
  <si>
    <t>Maximum senior debt outstanding</t>
  </si>
  <si>
    <t>Outstanding balance deducted from equity terminal proceeds</t>
  </si>
  <si>
    <t>Target &gt;= 1.30x</t>
  </si>
  <si>
    <t>First lender-style sizing warning</t>
  </si>
  <si>
    <t>Indicative</t>
  </si>
  <si>
    <t>Average coverage over modelled debt-service years</t>
  </si>
  <si>
    <t>Indicative &gt; 1.20x</t>
  </si>
  <si>
    <t>PV of CFADS / debt at service start</t>
  </si>
  <si>
    <t>Whole-model PV of CFADS / debt at service start</t>
  </si>
  <si>
    <t>Debt / EBITDA at Year 20</t>
  </si>
  <si>
    <t>Leverage indicator</t>
  </si>
  <si>
    <t>Project IRR incl terminal</t>
  </si>
  <si>
    <t>Investor metric</t>
  </si>
  <si>
    <t>Unlevered project cash flow</t>
  </si>
  <si>
    <t>Equity IRR incl net terminal</t>
  </si>
  <si>
    <t>After debt service / funding</t>
  </si>
  <si>
    <t>Terminal value / total project value</t>
  </si>
  <si>
    <t>Diagnostic</t>
  </si>
  <si>
    <t>High ratio indicates dependence on residual value</t>
  </si>
  <si>
    <t>Bankability status</t>
  </si>
  <si>
    <t>Threshold test</t>
  </si>
  <si>
    <t>Must be validated with lender case</t>
  </si>
  <si>
    <t>WCADP — SCENARIO BANKABILITY ANALYSIS — 20-YEAR</t>
  </si>
  <si>
    <t>Uses the existing Downside / Base / Upside framework. Results are indicative and use the 20-year programme structure.</t>
  </si>
  <si>
    <t>Base / Investment</t>
  </si>
  <si>
    <t>Downside Notes</t>
  </si>
  <si>
    <t>Base Notes</t>
  </si>
  <si>
    <t>Upside Notes</t>
  </si>
  <si>
    <t>Bankability Test</t>
  </si>
  <si>
    <t>Demand multiplier</t>
  </si>
  <si>
    <t>Stress demand / cost / CAPEX</t>
  </si>
  <si>
    <t>Central case; validate all traffic, tariff and cost inputs</t>
  </si>
  <si>
    <t>Favourable demand / cost / CAPEX</t>
  </si>
  <si>
    <t>Yield multiplier</t>
  </si>
  <si>
    <t>OPEX multiplier</t>
  </si>
  <si>
    <t>CAPEX multiplier</t>
  </si>
  <si>
    <t>Terminal multiple</t>
  </si>
  <si>
    <t>20-year Revenue</t>
  </si>
  <si>
    <t>Indicative CFADS</t>
  </si>
  <si>
    <t>Indicative minimum DSCR</t>
  </si>
  <si>
    <t>WCADP — BANKABILITY SENSITIVITY MATRIX</t>
  </si>
  <si>
    <t>The matrix is designed to expose the drivers of debt service coverage and returns; exact lender sensitivity tables should be rebuilt once validated traffic, cost and financing inputs are available.</t>
  </si>
  <si>
    <t>Sensitivity</t>
  </si>
  <si>
    <t>Base</t>
  </si>
  <si>
    <t>Passenger / cargo demand</t>
  </si>
  <si>
    <t>Applied to traffic volumes</t>
  </si>
  <si>
    <t>Revenue yield</t>
  </si>
  <si>
    <t>Applied to tariffs / yields</t>
  </si>
  <si>
    <t>Applied to operating costs</t>
  </si>
  <si>
    <t>Applied to development CAPEX</t>
  </si>
  <si>
    <t>Interest rate</t>
  </si>
  <si>
    <t>Absolute rate assumption</t>
  </si>
  <si>
    <t>Residual valuation sensitivity</t>
  </si>
  <si>
    <t>Construction delay (years)</t>
  </si>
  <si>
    <t>Requires schedule re-phasing before lender use</t>
  </si>
  <si>
    <t>Screening diagnostics (base case)</t>
  </si>
  <si>
    <t>Base minimum DSCR</t>
  </si>
  <si>
    <t>Base project IRR</t>
  </si>
  <si>
    <t>Base equity IRR</t>
  </si>
  <si>
    <t>Positive = proposed debt exceeds capacity</t>
  </si>
  <si>
    <t>WEST COAST AEROTROPOLIS DEVELOPMENT PROGRAM (WCADP)
PROJECT SPONSORS &amp; GOVERNANCE ORGANOGRAM</t>
  </si>
  <si>
    <t>Based strictly on Section 9 — Project Sponsors &amp; Governance Structure, pages 34–35 of the WCADP Institutional Bankability &amp; Investment Documentation Suite.</t>
  </si>
  <si>
    <t>BOARD OF DIRECTORS</t>
  </si>
  <si>
    <t>BOARD COMPOSITION
Independent Chairperson  •  Infrastructure Experts  •  Aviation Experts
Financial Experts  •  Legal Advisors  •  ESG Advisors</t>
  </si>
  <si>
    <t>GOVERNANCE COMMITTEES</t>
  </si>
  <si>
    <t>AUDIT
COMMITTEE</t>
  </si>
  <si>
    <t>RISK
COMMITTEE</t>
  </si>
  <si>
    <t>PROCUREMENT
COMMITTEE</t>
  </si>
  <si>
    <t>ESG
COMMITTEE</t>
  </si>
  <si>
    <t>TECHNICAL
COMMITTEE</t>
  </si>
  <si>
    <t>PROJECT SPONSORS</t>
  </si>
  <si>
    <t>SPONSOR RESPONSIBILITIES
Strategic Oversight  •  Capital Raising  •  Government Engagement
Regulatory Compliance  •  Stakeholder Management</t>
  </si>
  <si>
    <t>Governance principle: Independent oversight • Transparent procurement • ESG compliance • Audit structures • Anti-corruption measures • Institutional governance</t>
  </si>
  <si>
    <t>WCADP SECTION 9 — SOURCE STRUCTURE</t>
  </si>
  <si>
    <t>Source content</t>
  </si>
  <si>
    <t>9.1 Governance Principles</t>
  </si>
  <si>
    <t>Independent oversight; Transparent procurement; ESG compliance; Audit structures; Anti-corruption measures; Institutional governance.</t>
  </si>
  <si>
    <t>9.2 Proposed Governance Structure</t>
  </si>
  <si>
    <t>Governance structure comprising a Board of Directors.</t>
  </si>
  <si>
    <t>9.2.1 Board of Directors</t>
  </si>
  <si>
    <t>Independent Chairperson; Infrastructure experts; Aviation experts; Financial experts; Legal advisors; ESG advisors.</t>
  </si>
  <si>
    <t>9.3 Governance Committees</t>
  </si>
  <si>
    <t>Audit Committee; Risk Committee; Procurement Committee; ESG Committee; Technical Committee.</t>
  </si>
  <si>
    <t>9.4 Sponsor Responsibilities</t>
  </si>
  <si>
    <t>Strategic oversight; Capital raising; Government engagement; Regulatory compliance; Stakeholder management.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</si>
</sst>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\x"/>
    <numFmt numFmtId="166" formatCode="0.0%"/>
    <numFmt numFmtId="167" formatCode="_-[$$-409]* #,##0.00_ ;_-[$$-409]* \-#,##0.00\ ;_-[$$-409]* \-??_ ;_-@_ "/>
  </numFmts>
  <fonts count="33" x14ac:knownFonts="1">
    <font>
      <sz val="11"/>
      <color theme="1"/>
      <name val="Calibri"/>
      <family val="2"/>
      <charset val="1"/>
    </font>
    <font>
      <b/>
      <sz val="16"/>
      <color rgb="FFFFFFFF"/>
      <name val="Calibri"/>
      <family val="2"/>
      <charset val="1"/>
    </font>
    <font>
      <i/>
      <sz val="10"/>
      <color rgb="FF404040"/>
      <name val="Calibri"/>
      <family val="2"/>
      <charset val="1"/>
    </font>
    <font>
      <b/>
      <sz val="11"/>
      <color rgb="FF1F4E78"/>
      <name val="Calibri"/>
      <family val="2"/>
      <charset val="1"/>
    </font>
    <font>
      <b/>
      <sz val="11"/>
      <color rgb="FFC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b/>
      <sz val="14"/>
      <name val="Calibri"/>
      <family val="2"/>
      <charset val="1"/>
    </font>
    <font>
      <b/>
      <sz val="14"/>
      <name val="Cambria"/>
      <charset val="1"/>
    </font>
    <font>
      <b/>
      <sz val="12"/>
      <name val="Calibri"/>
      <family val="2"/>
      <charset val="1"/>
    </font>
    <font>
      <b/>
      <sz val="16"/>
      <color rgb="FFFFFFFF"/>
      <name val="Calibri"/>
      <charset val="1"/>
    </font>
    <font>
      <b/>
      <sz val="11"/>
      <name val="Calibri"/>
      <charset val="1"/>
    </font>
    <font>
      <sz val="11"/>
      <name val="Calibri"/>
      <charset val="1"/>
    </font>
    <font>
      <i/>
      <sz val="11"/>
      <name val="Calibri"/>
      <charset val="1"/>
    </font>
    <font>
      <b/>
      <sz val="12"/>
      <name val="Calibri"/>
      <charset val="1"/>
    </font>
    <font>
      <b/>
      <sz val="11"/>
      <color rgb="FFFFFFFF"/>
      <name val="Cambria"/>
      <charset val="1"/>
    </font>
    <font>
      <b/>
      <sz val="11"/>
      <color rgb="FF1F4E78"/>
      <name val="Cambria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FFFF"/>
      <name val="Calibri"/>
      <charset val="1"/>
    </font>
    <font>
      <i/>
      <sz val="11"/>
      <name val="Cambria"/>
      <charset val="1"/>
    </font>
    <font>
      <i/>
      <sz val="11"/>
      <name val="Calibri"/>
      <family val="2"/>
      <charset val="1"/>
    </font>
    <font>
      <i/>
      <sz val="11"/>
      <color rgb="FF404040"/>
      <name val="Calibri"/>
      <family val="2"/>
      <charset val="1"/>
    </font>
    <font>
      <b/>
      <sz val="11"/>
      <color rgb="FF404040"/>
      <name val="Calibri"/>
      <family val="2"/>
      <charset val="1"/>
    </font>
    <font>
      <sz val="11"/>
      <color rgb="FF404040"/>
      <name val="Calibri"/>
      <family val="2"/>
      <charset val="1"/>
    </font>
    <font>
      <b/>
      <sz val="16"/>
      <color rgb="FFFFFFFF"/>
      <name val="Arial"/>
      <charset val="1"/>
    </font>
    <font>
      <i/>
      <sz val="9"/>
      <color rgb="FF666666"/>
      <name val="Arial"/>
      <charset val="1"/>
    </font>
    <font>
      <b/>
      <sz val="13"/>
      <color rgb="FF1F1F1F"/>
      <name val="Arial"/>
      <charset val="1"/>
    </font>
    <font>
      <b/>
      <sz val="11"/>
      <color rgb="FF1F1F1F"/>
      <name val="Arial"/>
      <charset val="1"/>
    </font>
    <font>
      <b/>
      <sz val="12"/>
      <color rgb="FF1F1F1F"/>
      <name val="Arial"/>
      <charset val="1"/>
    </font>
    <font>
      <b/>
      <sz val="10"/>
      <color rgb="FF1F1F1F"/>
      <name val="Arial"/>
      <charset val="1"/>
    </font>
    <font>
      <i/>
      <sz val="9"/>
      <color rgb="FF1F1F1F"/>
      <name val="Arial"/>
      <charset val="1"/>
    </font>
    <font>
      <b/>
      <sz val="14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7365D"/>
      </patternFill>
    </fill>
    <fill>
      <patternFill patternType="solid">
        <fgColor rgb="FFD9EAF7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E2F0D9"/>
        <bgColor rgb="FFE7E6E6"/>
      </patternFill>
    </fill>
    <fill>
      <patternFill patternType="solid">
        <fgColor rgb="FFF4CCCC"/>
        <bgColor rgb="FFD9D9D9"/>
      </patternFill>
    </fill>
    <fill>
      <patternFill patternType="solid">
        <fgColor theme="6" tint="0.59968871120334488"/>
        <bgColor rgb="FFCCDAB7"/>
      </patternFill>
    </fill>
    <fill>
      <patternFill patternType="solid">
        <fgColor rgb="FF17365D"/>
        <bgColor rgb="FF1F4E78"/>
      </patternFill>
    </fill>
    <fill>
      <patternFill patternType="solid">
        <fgColor rgb="FF2F75B5"/>
        <bgColor rgb="FF4978B1"/>
      </patternFill>
    </fill>
    <fill>
      <patternFill patternType="solid">
        <fgColor rgb="FFE7E6E6"/>
        <bgColor rgb="FFE2F0D9"/>
      </patternFill>
    </fill>
    <fill>
      <patternFill patternType="solid">
        <fgColor rgb="FFFCE4D6"/>
        <bgColor rgb="FFFFF2CC"/>
      </patternFill>
    </fill>
  </fills>
  <borders count="8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/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2" fillId="0" borderId="0" xfId="0" applyFont="1"/>
    <xf numFmtId="0" fontId="13" fillId="0" borderId="0" xfId="0" applyFont="1" applyAlignment="1">
      <alignment wrapText="1"/>
    </xf>
    <xf numFmtId="0" fontId="21" fillId="0" borderId="0" xfId="0" applyFont="1"/>
    <xf numFmtId="0" fontId="20" fillId="0" borderId="0" xfId="0" applyFont="1"/>
    <xf numFmtId="0" fontId="13" fillId="0" borderId="0" xfId="0" applyFont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wrapText="1"/>
    </xf>
    <xf numFmtId="0" fontId="5" fillId="2" borderId="0" xfId="0" applyFont="1" applyFill="1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0" fontId="32" fillId="8" borderId="7" xfId="0" applyFont="1" applyFill="1" applyBorder="1" applyAlignment="1">
      <alignment vertical="top" wrapText="1"/>
    </xf>
    <xf numFmtId="0" fontId="3" fillId="0" borderId="1" xfId="0" applyFont="1" applyBorder="1"/>
    <xf numFmtId="0" fontId="0" fillId="3" borderId="1" xfId="0" applyFill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165" fontId="0" fillId="3" borderId="1" xfId="0" applyNumberFormat="1" applyFill="1" applyBorder="1"/>
    <xf numFmtId="165" fontId="0" fillId="0" borderId="1" xfId="0" applyNumberFormat="1" applyBorder="1"/>
    <xf numFmtId="10" fontId="0" fillId="3" borderId="1" xfId="0" applyNumberFormat="1" applyFill="1" applyBorder="1"/>
    <xf numFmtId="10" fontId="0" fillId="0" borderId="1" xfId="0" applyNumberFormat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6" fillId="3" borderId="0" xfId="0" applyFont="1" applyFill="1"/>
    <xf numFmtId="10" fontId="0" fillId="0" borderId="0" xfId="0" applyNumberFormat="1"/>
    <xf numFmtId="165" fontId="0" fillId="0" borderId="0" xfId="0" applyNumberFormat="1"/>
    <xf numFmtId="2" fontId="0" fillId="0" borderId="0" xfId="0" applyNumberForma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2" fontId="0" fillId="0" borderId="3" xfId="0" applyNumberForma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10" fontId="0" fillId="0" borderId="3" xfId="0" applyNumberFormat="1" applyBorder="1" applyAlignment="1">
      <alignment vertical="top" wrapText="1"/>
    </xf>
    <xf numFmtId="165" fontId="0" fillId="0" borderId="3" xfId="0" applyNumberFormat="1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0" fontId="0" fillId="0" borderId="3" xfId="0" applyBorder="1"/>
    <xf numFmtId="164" fontId="0" fillId="0" borderId="3" xfId="0" applyNumberFormat="1" applyBorder="1"/>
    <xf numFmtId="0" fontId="13" fillId="0" borderId="0" xfId="0" applyFont="1"/>
    <xf numFmtId="0" fontId="14" fillId="0" borderId="0" xfId="0" applyFont="1"/>
    <xf numFmtId="0" fontId="15" fillId="2" borderId="0" xfId="0" applyFont="1" applyFill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164" fontId="17" fillId="0" borderId="1" xfId="0" applyNumberFormat="1" applyFont="1" applyBorder="1"/>
    <xf numFmtId="166" fontId="0" fillId="0" borderId="1" xfId="0" applyNumberFormat="1" applyBorder="1"/>
    <xf numFmtId="0" fontId="0" fillId="5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8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0" fillId="7" borderId="0" xfId="0" applyNumberFormat="1" applyFill="1"/>
    <xf numFmtId="0" fontId="19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6" fontId="0" fillId="0" borderId="1" xfId="0" applyNumberFormat="1" applyBorder="1" applyAlignment="1">
      <alignment vertical="top" wrapText="1"/>
    </xf>
    <xf numFmtId="167" fontId="0" fillId="0" borderId="0" xfId="0" applyNumberFormat="1"/>
    <xf numFmtId="0" fontId="15" fillId="2" borderId="1" xfId="0" applyFont="1" applyFill="1" applyBorder="1"/>
    <xf numFmtId="0" fontId="0" fillId="4" borderId="1" xfId="0" applyFill="1" applyBorder="1"/>
    <xf numFmtId="0" fontId="0" fillId="4" borderId="0" xfId="0" applyFill="1"/>
    <xf numFmtId="166" fontId="0" fillId="0" borderId="0" xfId="0" applyNumberFormat="1"/>
    <xf numFmtId="9" fontId="0" fillId="0" borderId="0" xfId="0" applyNumberFormat="1"/>
    <xf numFmtId="164" fontId="0" fillId="7" borderId="1" xfId="0" applyNumberFormat="1" applyFill="1" applyBorder="1"/>
    <xf numFmtId="0" fontId="22" fillId="0" borderId="0" xfId="0" applyFont="1" applyAlignment="1">
      <alignment wrapText="1"/>
    </xf>
    <xf numFmtId="164" fontId="0" fillId="0" borderId="1" xfId="0" applyNumberFormat="1" applyBorder="1" applyAlignment="1">
      <alignment wrapText="1"/>
    </xf>
    <xf numFmtId="0" fontId="3" fillId="3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4" fillId="0" borderId="1" xfId="0" applyFont="1" applyBorder="1"/>
    <xf numFmtId="0" fontId="23" fillId="3" borderId="1" xfId="0" applyFont="1" applyFill="1" applyBorder="1"/>
    <xf numFmtId="164" fontId="0" fillId="3" borderId="1" xfId="0" applyNumberFormat="1" applyFill="1" applyBorder="1"/>
    <xf numFmtId="10" fontId="4" fillId="4" borderId="1" xfId="0" applyNumberFormat="1" applyFont="1" applyFill="1" applyBorder="1" applyAlignment="1">
      <alignment wrapText="1"/>
    </xf>
    <xf numFmtId="164" fontId="4" fillId="4" borderId="0" xfId="0" applyNumberFormat="1" applyFont="1" applyFill="1"/>
    <xf numFmtId="0" fontId="3" fillId="0" borderId="1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11" fillId="3" borderId="7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5" fillId="8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9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9" fillId="8" borderId="4" xfId="0" applyFont="1" applyFill="1" applyBorder="1" applyAlignment="1">
      <alignment horizontal="center" vertical="center" wrapText="1"/>
    </xf>
    <xf numFmtId="0" fontId="30" fillId="10" borderId="4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31" fillId="1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7E4BD"/>
      <rgbColor rgb="FFFF00FF"/>
      <rgbColor rgb="FF00FFFF"/>
      <rgbColor rgb="FFC00000"/>
      <rgbColor rgb="FF666666"/>
      <rgbColor rgb="FF000080"/>
      <rgbColor rgb="FF7A9346"/>
      <rgbColor rgb="FF878787"/>
      <rgbColor rgb="FF4978B1"/>
      <rgbColor rgb="FFB7B7B7"/>
      <rgbColor rgb="FF7F7F7F"/>
      <rgbColor rgb="FF7E9BC7"/>
      <rgbColor rgb="FF973F3C"/>
      <rgbColor rgb="FFFFF2CC"/>
      <rgbColor rgb="FFD9EAF7"/>
      <rgbColor rgb="FF654E7F"/>
      <rgbColor rgb="FFE78C41"/>
      <rgbColor rgb="FF3E6595"/>
      <rgbColor rgb="FFD9D9D9"/>
      <rgbColor rgb="FF000080"/>
      <rgbColor rgb="FFFF00FF"/>
      <rgbColor rgb="FFCCDAB7"/>
      <rgbColor rgb="FF00FFFF"/>
      <rgbColor rgb="FFCA7E7D"/>
      <rgbColor rgb="FF800000"/>
      <rgbColor rgb="FF4A7EBB"/>
      <rgbColor rgb="FF0000FF"/>
      <rgbColor rgb="FF7CBACF"/>
      <rgbColor rgb="FFE7E6E6"/>
      <rgbColor rgb="FFE2F0D9"/>
      <rgbColor rgb="FFFCE4D6"/>
      <rgbColor rgb="FFB5C3DB"/>
      <rgbColor rgb="FFDDB5B5"/>
      <rgbColor rgb="FFB3B3B3"/>
      <rgbColor rgb="FFF4CCCC"/>
      <rgbColor rgb="FF2F75B5"/>
      <rgbColor rgb="FF46A1B9"/>
      <rgbColor rgb="FF91AF53"/>
      <rgbColor rgb="FFADC683"/>
      <rgbColor rgb="FFF8AA7A"/>
      <rgbColor rgb="FFC27637"/>
      <rgbColor rgb="FF775D97"/>
      <rgbColor rgb="FF9A89B2"/>
      <rgbColor rgb="FF17365D"/>
      <rgbColor rgb="FF3B879C"/>
      <rgbColor rgb="FF4F81BD"/>
      <rgbColor rgb="FF1F1F1F"/>
      <rgbColor rgb="FFBE4B48"/>
      <rgbColor rgb="FFB34A48"/>
      <rgbColor rgb="FF1F4E78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ZA" sz="1800" b="1" u="none" strike="noStrike">
                <a:solidFill>
                  <a:srgbClr val="000000"/>
                </a:solidFill>
                <a:uFillTx/>
                <a:latin typeface="Calibri"/>
              </a:rPr>
              <a:t>Annual Core CAPEX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CAPEX1!$G$4</c:f>
              <c:strCache>
                <c:ptCount val="1"/>
                <c:pt idx="0">
                  <c:v>Annual CAPEX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1"/>
            <c:bubble3D val="0"/>
            <c:spPr>
              <a:solidFill>
                <a:srgbClr val="3E659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030B-4FF4-B0BB-B9D2313B7316}"/>
              </c:ext>
            </c:extLst>
          </c:dPt>
          <c:dPt>
            <c:idx val="1"/>
            <c:invertIfNegative val="1"/>
            <c:bubble3D val="0"/>
            <c:spPr>
              <a:solidFill>
                <a:srgbClr val="973F3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030B-4FF4-B0BB-B9D2313B7316}"/>
              </c:ext>
            </c:extLst>
          </c:dPt>
          <c:dPt>
            <c:idx val="2"/>
            <c:invertIfNegative val="1"/>
            <c:bubble3D val="0"/>
            <c:spPr>
              <a:solidFill>
                <a:srgbClr val="7A934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030B-4FF4-B0BB-B9D2313B7316}"/>
              </c:ext>
            </c:extLst>
          </c:dPt>
          <c:dPt>
            <c:idx val="3"/>
            <c:invertIfNegative val="1"/>
            <c:bubble3D val="0"/>
            <c:spPr>
              <a:solidFill>
                <a:srgbClr val="654E7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030B-4FF4-B0BB-B9D2313B7316}"/>
              </c:ext>
            </c:extLst>
          </c:dPt>
          <c:dPt>
            <c:idx val="4"/>
            <c:invertIfNegative val="1"/>
            <c:bubble3D val="0"/>
            <c:spPr>
              <a:solidFill>
                <a:srgbClr val="3B879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030B-4FF4-B0BB-B9D2313B7316}"/>
              </c:ext>
            </c:extLst>
          </c:dPt>
          <c:dPt>
            <c:idx val="5"/>
            <c:invertIfNegative val="1"/>
            <c:bubble3D val="0"/>
            <c:spPr>
              <a:solidFill>
                <a:srgbClr val="C2763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030B-4FF4-B0BB-B9D2313B7316}"/>
              </c:ext>
            </c:extLst>
          </c:dPt>
          <c:dPt>
            <c:idx val="6"/>
            <c:invertIfNegative val="1"/>
            <c:bubble3D val="0"/>
            <c:spPr>
              <a:solidFill>
                <a:srgbClr val="4978B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030B-4FF4-B0BB-B9D2313B7316}"/>
              </c:ext>
            </c:extLst>
          </c:dPt>
          <c:dPt>
            <c:idx val="7"/>
            <c:invertIfNegative val="1"/>
            <c:bubble3D val="0"/>
            <c:spPr>
              <a:solidFill>
                <a:srgbClr val="B34A4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030B-4FF4-B0BB-B9D2313B7316}"/>
              </c:ext>
            </c:extLst>
          </c:dPt>
          <c:dPt>
            <c:idx val="8"/>
            <c:invertIfNegative val="1"/>
            <c:bubble3D val="0"/>
            <c:spPr>
              <a:solidFill>
                <a:srgbClr val="91AF5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030B-4FF4-B0BB-B9D2313B7316}"/>
              </c:ext>
            </c:extLst>
          </c:dPt>
          <c:dPt>
            <c:idx val="9"/>
            <c:invertIfNegative val="1"/>
            <c:bubble3D val="0"/>
            <c:spPr>
              <a:solidFill>
                <a:srgbClr val="775D9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3-030B-4FF4-B0BB-B9D2313B7316}"/>
              </c:ext>
            </c:extLst>
          </c:dPt>
          <c:dPt>
            <c:idx val="10"/>
            <c:invertIfNegative val="1"/>
            <c:bubble3D val="0"/>
            <c:spPr>
              <a:solidFill>
                <a:srgbClr val="46A1B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5-030B-4FF4-B0BB-B9D2313B7316}"/>
              </c:ext>
            </c:extLst>
          </c:dPt>
          <c:dPt>
            <c:idx val="11"/>
            <c:invertIfNegative val="1"/>
            <c:bubble3D val="0"/>
            <c:spPr>
              <a:solidFill>
                <a:srgbClr val="E78C4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7-030B-4FF4-B0BB-B9D2313B7316}"/>
              </c:ext>
            </c:extLst>
          </c:dPt>
          <c:dPt>
            <c:idx val="12"/>
            <c:invertIfNegative val="1"/>
            <c:bubble3D val="0"/>
            <c:spPr>
              <a:solidFill>
                <a:srgbClr val="7E9BC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9-030B-4FF4-B0BB-B9D2313B7316}"/>
              </c:ext>
            </c:extLst>
          </c:dPt>
          <c:dPt>
            <c:idx val="13"/>
            <c:invertIfNegative val="1"/>
            <c:bubble3D val="0"/>
            <c:spPr>
              <a:solidFill>
                <a:srgbClr val="CA7E7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B-030B-4FF4-B0BB-B9D2313B7316}"/>
              </c:ext>
            </c:extLst>
          </c:dPt>
          <c:dPt>
            <c:idx val="14"/>
            <c:invertIfNegative val="1"/>
            <c:bubble3D val="0"/>
            <c:spPr>
              <a:solidFill>
                <a:srgbClr val="ADC68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D-030B-4FF4-B0BB-B9D2313B7316}"/>
              </c:ext>
            </c:extLst>
          </c:dPt>
          <c:dPt>
            <c:idx val="15"/>
            <c:invertIfNegative val="1"/>
            <c:bubble3D val="0"/>
            <c:spPr>
              <a:solidFill>
                <a:srgbClr val="9A89B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F-030B-4FF4-B0BB-B9D2313B7316}"/>
              </c:ext>
            </c:extLst>
          </c:dPt>
          <c:dPt>
            <c:idx val="16"/>
            <c:invertIfNegative val="1"/>
            <c:bubble3D val="0"/>
            <c:spPr>
              <a:solidFill>
                <a:srgbClr val="7CBAC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21-030B-4FF4-B0BB-B9D2313B7316}"/>
              </c:ext>
            </c:extLst>
          </c:dPt>
          <c:dPt>
            <c:idx val="17"/>
            <c:invertIfNegative val="1"/>
            <c:bubble3D val="0"/>
            <c:spPr>
              <a:solidFill>
                <a:srgbClr val="F8AA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23-030B-4FF4-B0BB-B9D2313B7316}"/>
              </c:ext>
            </c:extLst>
          </c:dPt>
          <c:dPt>
            <c:idx val="18"/>
            <c:invertIfNegative val="1"/>
            <c:bubble3D val="0"/>
            <c:spPr>
              <a:solidFill>
                <a:srgbClr val="B5C3D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25-030B-4FF4-B0BB-B9D2313B7316}"/>
              </c:ext>
            </c:extLst>
          </c:dPt>
          <c:dPt>
            <c:idx val="19"/>
            <c:invertIfNegative val="1"/>
            <c:bubble3D val="0"/>
            <c:spPr>
              <a:solidFill>
                <a:srgbClr val="DDB5B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27-030B-4FF4-B0BB-B9D2313B7316}"/>
              </c:ext>
            </c:extLst>
          </c:dPt>
          <c:dPt>
            <c:idx val="20"/>
            <c:invertIfNegative val="1"/>
            <c:bubble3D val="0"/>
            <c:spPr>
              <a:solidFill>
                <a:srgbClr val="CCDAB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29-030B-4FF4-B0BB-B9D2313B731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030B-4FF4-B0BB-B9D2313B731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030B-4FF4-B0BB-B9D2313B7316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030B-4FF4-B0BB-B9D2313B7316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030B-4FF4-B0BB-B9D2313B7316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030B-4FF4-B0BB-B9D2313B7316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030B-4FF4-B0BB-B9D2313B7316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030B-4FF4-B0BB-B9D2313B7316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030B-4FF4-B0BB-B9D2313B7316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030B-4FF4-B0BB-B9D2313B7316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3-030B-4FF4-B0BB-B9D2313B7316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5-030B-4FF4-B0BB-B9D2313B7316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7-030B-4FF4-B0BB-B9D2313B7316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9-030B-4FF4-B0BB-B9D2313B7316}"/>
                </c:ext>
              </c:extLst>
            </c:dLbl>
            <c:dLbl>
              <c:idx val="13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B-030B-4FF4-B0BB-B9D2313B7316}"/>
                </c:ext>
              </c:extLst>
            </c:dLbl>
            <c:dLbl>
              <c:idx val="14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D-030B-4FF4-B0BB-B9D2313B7316}"/>
                </c:ext>
              </c:extLst>
            </c:dLbl>
            <c:dLbl>
              <c:idx val="15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F-030B-4FF4-B0BB-B9D2313B7316}"/>
                </c:ext>
              </c:extLst>
            </c:dLbl>
            <c:dLbl>
              <c:idx val="16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21-030B-4FF4-B0BB-B9D2313B7316}"/>
                </c:ext>
              </c:extLst>
            </c:dLbl>
            <c:dLbl>
              <c:idx val="17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23-030B-4FF4-B0BB-B9D2313B7316}"/>
                </c:ext>
              </c:extLst>
            </c:dLbl>
            <c:dLbl>
              <c:idx val="18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25-030B-4FF4-B0BB-B9D2313B7316}"/>
                </c:ext>
              </c:extLst>
            </c:dLbl>
            <c:dLbl>
              <c:idx val="19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27-030B-4FF4-B0BB-B9D2313B7316}"/>
                </c:ext>
              </c:extLst>
            </c:dLbl>
            <c:dLbl>
              <c:idx val="2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29-030B-4FF4-B0BB-B9D2313B73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CAPEX1!$A$5:$A$25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CAPEX1!$G$5:$G$25</c:f>
              <c:numCache>
                <c:formatCode>0.000</c:formatCode>
                <c:ptCount val="21"/>
                <c:pt idx="0">
                  <c:v>0.125</c:v>
                </c:pt>
                <c:pt idx="1">
                  <c:v>2.4785714285714326</c:v>
                </c:pt>
                <c:pt idx="2">
                  <c:v>2.4785714285714326</c:v>
                </c:pt>
                <c:pt idx="3">
                  <c:v>2.4785714285714326</c:v>
                </c:pt>
                <c:pt idx="4">
                  <c:v>2.4785714285714326</c:v>
                </c:pt>
                <c:pt idx="5">
                  <c:v>2.4785714285714326</c:v>
                </c:pt>
                <c:pt idx="6">
                  <c:v>2.0785714285714327</c:v>
                </c:pt>
                <c:pt idx="7">
                  <c:v>2.0785714285714327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  <c:pt idx="12">
                  <c:v>0.65</c:v>
                </c:pt>
                <c:pt idx="13">
                  <c:v>0.65</c:v>
                </c:pt>
                <c:pt idx="14">
                  <c:v>0.65</c:v>
                </c:pt>
                <c:pt idx="15">
                  <c:v>0.65</c:v>
                </c:pt>
                <c:pt idx="16">
                  <c:v>0.65</c:v>
                </c:pt>
                <c:pt idx="17">
                  <c:v>0.65</c:v>
                </c:pt>
                <c:pt idx="18">
                  <c:v>0.65</c:v>
                </c:pt>
                <c:pt idx="19">
                  <c:v>0.65</c:v>
                </c:pt>
                <c:pt idx="20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30B-4FF4-B0BB-B9D2313B7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784500"/>
        <c:axId val="48384126"/>
      </c:barChart>
      <c:catAx>
        <c:axId val="30784500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ZA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crossAx val="48384126"/>
        <c:crosses val="autoZero"/>
        <c:auto val="1"/>
        <c:lblAlgn val="ctr"/>
        <c:lblOffset val="100"/>
        <c:noMultiLvlLbl val="0"/>
      </c:catAx>
      <c:valAx>
        <c:axId val="48384126"/>
        <c:scaling>
          <c:orientation val="minMax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ZA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USD bn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1"/>
        <c:majorTickMark val="none"/>
        <c:minorTickMark val="none"/>
        <c:tickLblPos val="nextTo"/>
        <c:crossAx val="3078450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ZA" sz="1800" b="1" u="none" strike="noStrike">
                <a:solidFill>
                  <a:srgbClr val="000000"/>
                </a:solidFill>
                <a:uFillTx/>
                <a:latin typeface="Calibri"/>
              </a:rPr>
              <a:t>Revenue and EBITDA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Operations!$F$4</c:f>
              <c:strCache>
                <c:ptCount val="1"/>
                <c:pt idx="0">
                  <c:v>Total Revenue</c:v>
                </c:pt>
              </c:strCache>
            </c:strRef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Operations!$A$5:$A$25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Operations!$F$5:$F$25</c:f>
              <c:numCache>
                <c:formatCode>0.000</c:formatCode>
                <c:ptCount val="21"/>
                <c:pt idx="0">
                  <c:v>0</c:v>
                </c:pt>
                <c:pt idx="1">
                  <c:v>1.88475025</c:v>
                </c:pt>
                <c:pt idx="2">
                  <c:v>2.0330198300000002</c:v>
                </c:pt>
                <c:pt idx="3">
                  <c:v>2.1931823268500001</c:v>
                </c:pt>
                <c:pt idx="4">
                  <c:v>2.3662086851420008</c:v>
                </c:pt>
                <c:pt idx="5">
                  <c:v>2.5531503700905653</c:v>
                </c:pt>
                <c:pt idx="6">
                  <c:v>2.7551461367164665</c:v>
                </c:pt>
                <c:pt idx="7">
                  <c:v>2.9734293747613285</c:v>
                </c:pt>
                <c:pt idx="8">
                  <c:v>3.2093360787825986</c:v>
                </c:pt>
                <c:pt idx="9">
                  <c:v>3.464313497160167</c:v>
                </c:pt>
                <c:pt idx="10">
                  <c:v>3.739929518401278</c:v>
                </c:pt>
                <c:pt idx="11">
                  <c:v>4.0378828581917574</c:v>
                </c:pt>
                <c:pt idx="12">
                  <c:v>4.3600141161445487</c:v>
                </c:pt>
                <c:pt idx="13">
                  <c:v>4.7083177771799694</c:v>
                </c:pt>
                <c:pt idx="14">
                  <c:v>5.0849552389780159</c:v>
                </c:pt>
                <c:pt idx="15">
                  <c:v>5.4922689540173986</c:v>
                </c:pt>
                <c:pt idx="16">
                  <c:v>5.932797782408735</c:v>
                </c:pt>
                <c:pt idx="17">
                  <c:v>6.4092936600946269</c:v>
                </c:pt>
                <c:pt idx="18">
                  <c:v>6.9247396960865544</c:v>
                </c:pt>
                <c:pt idx="19">
                  <c:v>7.4823698223017496</c:v>
                </c:pt>
                <c:pt idx="20">
                  <c:v>8.0856901303226003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312-48DD-A1A1-7F3F54E4A8F2}"/>
            </c:ext>
          </c:extLst>
        </c:ser>
        <c:ser>
          <c:idx val="1"/>
          <c:order val="1"/>
          <c:tx>
            <c:strRef>
              <c:f>Operations!$L$4</c:f>
              <c:strCache>
                <c:ptCount val="1"/>
                <c:pt idx="0">
                  <c:v>EBITDA</c:v>
                </c:pt>
              </c:strCache>
            </c:strRef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Operations!$A$5:$A$25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Operations!$L$5:$L$25</c:f>
              <c:numCache>
                <c:formatCode>0.000</c:formatCode>
                <c:ptCount val="21"/>
                <c:pt idx="0">
                  <c:v>0</c:v>
                </c:pt>
                <c:pt idx="1">
                  <c:v>1.0264288812500002</c:v>
                </c:pt>
                <c:pt idx="2">
                  <c:v>1.1079326638750002</c:v>
                </c:pt>
                <c:pt idx="3">
                  <c:v>1.1960278848775001</c:v>
                </c:pt>
                <c:pt idx="4">
                  <c:v>1.2912564840011131</c:v>
                </c:pt>
                <c:pt idx="5">
                  <c:v>1.3942056117588502</c:v>
                </c:pt>
                <c:pt idx="6">
                  <c:v>1.5055114488814694</c:v>
                </c:pt>
                <c:pt idx="7">
                  <c:v>1.6258633519150274</c:v>
                </c:pt>
                <c:pt idx="8">
                  <c:v>1.7560083530703969</c:v>
                </c:pt>
                <c:pt idx="9">
                  <c:v>1.8967560448672516</c:v>
                </c:pt>
                <c:pt idx="10">
                  <c:v>2.0489838827678755</c:v>
                </c:pt>
                <c:pt idx="11">
                  <c:v>2.2136429418808943</c:v>
                </c:pt>
                <c:pt idx="12">
                  <c:v>2.3917641669519094</c:v>
                </c:pt>
                <c:pt idx="13">
                  <c:v>2.5844651582693312</c:v>
                </c:pt>
                <c:pt idx="14">
                  <c:v>2.792957539823421</c:v>
                </c:pt>
                <c:pt idx="15">
                  <c:v>3.0185549600910657</c:v>
                </c:pt>
                <c:pt idx="16">
                  <c:v>3.2626817802065573</c:v>
                </c:pt>
                <c:pt idx="17">
                  <c:v>3.5268825090507478</c:v>
                </c:pt>
                <c:pt idx="18">
                  <c:v>3.8128320499812838</c:v>
                </c:pt>
                <c:pt idx="19">
                  <c:v>4.122346829571887</c:v>
                </c:pt>
                <c:pt idx="20">
                  <c:v>4.4573968848690626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12-48DD-A1A1-7F3F54E4A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4335987"/>
        <c:axId val="27187457"/>
      </c:lineChart>
      <c:catAx>
        <c:axId val="34335987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ZA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crossAx val="27187457"/>
        <c:crosses val="autoZero"/>
        <c:auto val="1"/>
        <c:lblAlgn val="ctr"/>
        <c:lblOffset val="100"/>
        <c:noMultiLvlLbl val="0"/>
      </c:catAx>
      <c:valAx>
        <c:axId val="27187457"/>
        <c:scaling>
          <c:orientation val="minMax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ZA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USD bn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1"/>
        <c:majorTickMark val="none"/>
        <c:minorTickMark val="none"/>
        <c:tickLblPos val="nextTo"/>
        <c:crossAx val="343359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1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9720</xdr:rowOff>
    </xdr:from>
    <xdr:to>
      <xdr:col>2</xdr:col>
      <xdr:colOff>2050920</xdr:colOff>
      <xdr:row>70</xdr:row>
      <xdr:rowOff>73080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2058840</xdr:colOff>
      <xdr:row>26</xdr:row>
      <xdr:rowOff>7200</xdr:rowOff>
    </xdr:from>
    <xdr:to>
      <xdr:col>5</xdr:col>
      <xdr:colOff>504720</xdr:colOff>
      <xdr:row>38</xdr:row>
      <xdr:rowOff>144000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showGridLines="0"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8.7109375" defaultRowHeight="15" customHeight="1" x14ac:dyDescent="0.25"/>
  <cols>
    <col min="1" max="1" width="34" customWidth="1"/>
    <col min="2" max="2" width="33.7109375" customWidth="1"/>
    <col min="3" max="3" width="18" customWidth="1"/>
    <col min="4" max="4" width="45.85546875" customWidth="1"/>
    <col min="5" max="5" width="20" customWidth="1"/>
  </cols>
  <sheetData>
    <row r="1" spans="1:5" ht="25.5" customHeight="1" x14ac:dyDescent="0.25">
      <c r="A1" s="13" t="s">
        <v>0</v>
      </c>
      <c r="B1" s="13"/>
      <c r="C1" s="13"/>
      <c r="D1" s="13"/>
      <c r="E1" s="13"/>
    </row>
    <row r="2" spans="1:5" ht="31.5" customHeight="1" x14ac:dyDescent="0.25">
      <c r="A2" s="12" t="s">
        <v>1</v>
      </c>
      <c r="B2" s="12"/>
      <c r="C2" s="12"/>
      <c r="D2" s="12"/>
      <c r="E2" s="12"/>
    </row>
    <row r="4" spans="1:5" ht="15" customHeight="1" x14ac:dyDescent="0.25">
      <c r="A4" s="15" t="s">
        <v>2</v>
      </c>
      <c r="B4" s="16" t="s">
        <v>3</v>
      </c>
      <c r="C4" s="17">
        <f>Inputs!B10</f>
        <v>25</v>
      </c>
      <c r="D4" s="18" t="s">
        <v>4</v>
      </c>
      <c r="E4" s="19" t="s">
        <v>5</v>
      </c>
    </row>
    <row r="5" spans="1:5" ht="15" customHeight="1" x14ac:dyDescent="0.25">
      <c r="A5" s="15" t="s">
        <v>2</v>
      </c>
      <c r="B5" s="16" t="s">
        <v>6</v>
      </c>
      <c r="C5" s="17">
        <f>Inputs!B11</f>
        <v>25.125</v>
      </c>
      <c r="D5" s="18" t="s">
        <v>4</v>
      </c>
      <c r="E5" s="19" t="s">
        <v>7</v>
      </c>
    </row>
    <row r="6" spans="1:5" ht="15" customHeight="1" x14ac:dyDescent="0.25">
      <c r="A6" s="15" t="s">
        <v>2</v>
      </c>
      <c r="B6" s="16" t="s">
        <v>8</v>
      </c>
      <c r="C6" s="17">
        <f>Inputs!B6</f>
        <v>13</v>
      </c>
      <c r="D6" s="18" t="s">
        <v>4</v>
      </c>
      <c r="E6" s="19" t="s">
        <v>9</v>
      </c>
    </row>
    <row r="7" spans="1:5" ht="15" customHeight="1" x14ac:dyDescent="0.25">
      <c r="A7" s="15" t="s">
        <v>2</v>
      </c>
      <c r="B7" s="16" t="s">
        <v>10</v>
      </c>
      <c r="C7" s="17">
        <f>Inputs!B7</f>
        <v>9</v>
      </c>
      <c r="D7" s="18" t="s">
        <v>4</v>
      </c>
      <c r="E7" s="19" t="s">
        <v>11</v>
      </c>
    </row>
    <row r="8" spans="1:5" ht="15" customHeight="1" x14ac:dyDescent="0.25">
      <c r="A8" s="15" t="s">
        <v>2</v>
      </c>
      <c r="B8" s="16" t="s">
        <v>12</v>
      </c>
      <c r="C8" s="17">
        <f>Inputs!B8</f>
        <v>2</v>
      </c>
      <c r="D8" s="18" t="s">
        <v>4</v>
      </c>
      <c r="E8" s="19" t="s">
        <v>13</v>
      </c>
    </row>
    <row r="9" spans="1:5" ht="15" customHeight="1" x14ac:dyDescent="0.25">
      <c r="A9" s="15" t="s">
        <v>2</v>
      </c>
      <c r="B9" s="16" t="s">
        <v>14</v>
      </c>
      <c r="C9" s="17">
        <f>Inputs!B9</f>
        <v>1</v>
      </c>
      <c r="D9" s="18" t="s">
        <v>4</v>
      </c>
      <c r="E9" s="19" t="s">
        <v>11</v>
      </c>
    </row>
    <row r="10" spans="1:5" ht="15" customHeight="1" x14ac:dyDescent="0.25">
      <c r="A10" s="15" t="s">
        <v>15</v>
      </c>
      <c r="B10" s="16" t="s">
        <v>16</v>
      </c>
      <c r="C10" s="17">
        <f>SUM('Bankability CF'!B11:V11)</f>
        <v>85.690796103630362</v>
      </c>
      <c r="D10" s="18" t="s">
        <v>4</v>
      </c>
      <c r="E10" s="19" t="s">
        <v>17</v>
      </c>
    </row>
    <row r="11" spans="1:5" ht="15" customHeight="1" x14ac:dyDescent="0.25">
      <c r="A11" s="15" t="s">
        <v>15</v>
      </c>
      <c r="B11" s="16" t="s">
        <v>18</v>
      </c>
      <c r="C11" s="17">
        <f>SUM('Bankability CF'!B13:V13)</f>
        <v>47.032499427960644</v>
      </c>
      <c r="D11" s="18" t="s">
        <v>4</v>
      </c>
      <c r="E11" s="19" t="s">
        <v>17</v>
      </c>
    </row>
    <row r="12" spans="1:5" ht="15" customHeight="1" x14ac:dyDescent="0.25">
      <c r="A12" s="15" t="s">
        <v>19</v>
      </c>
      <c r="B12" s="16" t="s">
        <v>20</v>
      </c>
      <c r="C12" s="17">
        <f>SUM('Bankability CF'!B17:V17)</f>
        <v>32.689010652216787</v>
      </c>
      <c r="D12" s="18" t="s">
        <v>4</v>
      </c>
      <c r="E12" s="19" t="s">
        <v>21</v>
      </c>
    </row>
    <row r="13" spans="1:5" ht="15" customHeight="1" x14ac:dyDescent="0.25">
      <c r="A13" s="15" t="s">
        <v>19</v>
      </c>
      <c r="B13" s="16" t="s">
        <v>22</v>
      </c>
      <c r="C13" s="17">
        <f>'Credit Metrics'!B7</f>
        <v>16.250000000000014</v>
      </c>
      <c r="D13" s="18" t="s">
        <v>4</v>
      </c>
      <c r="E13" s="19" t="s">
        <v>23</v>
      </c>
    </row>
    <row r="14" spans="1:5" ht="15" customHeight="1" x14ac:dyDescent="0.25">
      <c r="A14" s="15" t="s">
        <v>19</v>
      </c>
      <c r="B14" s="16" t="s">
        <v>24</v>
      </c>
      <c r="C14" s="17" t="e">
        <f>'Credit Metrics'!B8</f>
        <v>#N/A</v>
      </c>
      <c r="D14" s="18" t="s">
        <v>4</v>
      </c>
      <c r="E14" s="19" t="s">
        <v>25</v>
      </c>
    </row>
    <row r="15" spans="1:5" ht="15" customHeight="1" x14ac:dyDescent="0.25">
      <c r="A15" s="15" t="s">
        <v>26</v>
      </c>
      <c r="B15" s="20" t="s">
        <v>27</v>
      </c>
      <c r="C15" s="17" t="e">
        <f>'Credit Metrics'!B9</f>
        <v>#N/A</v>
      </c>
      <c r="D15" s="18" t="s">
        <v>28</v>
      </c>
      <c r="E15" s="19" t="s">
        <v>29</v>
      </c>
    </row>
    <row r="16" spans="1:5" ht="15" customHeight="1" x14ac:dyDescent="0.25">
      <c r="A16" s="15" t="s">
        <v>26</v>
      </c>
      <c r="B16" s="20" t="s">
        <v>30</v>
      </c>
      <c r="C16" s="21">
        <f>MIN('Debt Service'!J15:V15)</f>
        <v>0.6998743177311203</v>
      </c>
      <c r="D16" s="18" t="s">
        <v>28</v>
      </c>
      <c r="E16" s="19" t="s">
        <v>31</v>
      </c>
    </row>
    <row r="17" spans="1:5" ht="15" customHeight="1" x14ac:dyDescent="0.25">
      <c r="A17" s="15" t="s">
        <v>26</v>
      </c>
      <c r="B17" s="20" t="s">
        <v>32</v>
      </c>
      <c r="C17" s="21">
        <f>AVERAGE('Debt Service'!J15:V15)</f>
        <v>1.5454525626708009</v>
      </c>
      <c r="D17" s="18" t="s">
        <v>28</v>
      </c>
      <c r="E17" s="19" t="s">
        <v>33</v>
      </c>
    </row>
    <row r="18" spans="1:5" ht="15" customHeight="1" x14ac:dyDescent="0.25">
      <c r="A18" s="15" t="s">
        <v>26</v>
      </c>
      <c r="B18" s="20" t="s">
        <v>34</v>
      </c>
      <c r="C18" s="21" t="e">
        <f>'Credit Metrics'!B14</f>
        <v>#N/A</v>
      </c>
      <c r="D18" s="18" t="s">
        <v>28</v>
      </c>
      <c r="E18" s="19" t="s">
        <v>33</v>
      </c>
    </row>
    <row r="19" spans="1:5" ht="15" customHeight="1" x14ac:dyDescent="0.25">
      <c r="A19" s="15" t="s">
        <v>35</v>
      </c>
      <c r="B19" s="22" t="s">
        <v>36</v>
      </c>
      <c r="C19" s="21">
        <f>'Credit Metrics'!B15</f>
        <v>1.2980709318325192</v>
      </c>
      <c r="D19" s="18" t="s">
        <v>37</v>
      </c>
      <c r="E19" s="19" t="s">
        <v>38</v>
      </c>
    </row>
    <row r="20" spans="1:5" ht="15" customHeight="1" x14ac:dyDescent="0.25">
      <c r="A20" s="15" t="s">
        <v>35</v>
      </c>
      <c r="B20" s="22" t="s">
        <v>39</v>
      </c>
      <c r="C20" s="23">
        <f>'Credit Metrics'!B17</f>
        <v>0.14522166791157098</v>
      </c>
      <c r="D20" s="18" t="s">
        <v>37</v>
      </c>
      <c r="E20" s="19" t="s">
        <v>40</v>
      </c>
    </row>
    <row r="21" spans="1:5" ht="15" customHeight="1" x14ac:dyDescent="0.25">
      <c r="A21" s="15" t="s">
        <v>35</v>
      </c>
      <c r="B21" s="16" t="s">
        <v>41</v>
      </c>
      <c r="C21" s="23">
        <f>'Credit Metrics'!B18</f>
        <v>9.4378976883511267E-2</v>
      </c>
      <c r="D21" s="18" t="s">
        <v>37</v>
      </c>
      <c r="E21" s="19" t="s">
        <v>42</v>
      </c>
    </row>
    <row r="22" spans="1:5" ht="15" customHeight="1" x14ac:dyDescent="0.25">
      <c r="A22" s="15" t="s">
        <v>43</v>
      </c>
      <c r="B22" s="16" t="s">
        <v>44</v>
      </c>
      <c r="C22" s="17">
        <f>'Credit Metrics'!B19</f>
        <v>9.4025840145015032</v>
      </c>
      <c r="D22" s="18" t="s">
        <v>4</v>
      </c>
      <c r="E22" s="19" t="s">
        <v>45</v>
      </c>
    </row>
    <row r="23" spans="1:5" ht="15" customHeight="1" x14ac:dyDescent="0.25">
      <c r="A23" s="15" t="s">
        <v>43</v>
      </c>
      <c r="B23" s="16" t="s">
        <v>46</v>
      </c>
      <c r="C23" s="17">
        <f>'Bankability CF'!V18</f>
        <v>60.620597634219251</v>
      </c>
      <c r="D23" s="18" t="s">
        <v>4</v>
      </c>
      <c r="E23" s="19" t="s">
        <v>47</v>
      </c>
    </row>
    <row r="24" spans="1:5" ht="15" customHeight="1" x14ac:dyDescent="0.25">
      <c r="A24" s="15" t="s">
        <v>43</v>
      </c>
      <c r="B24" s="16" t="s">
        <v>48</v>
      </c>
      <c r="C24" s="17">
        <f>'Debt Service'!V12</f>
        <v>8.1925689898464533</v>
      </c>
      <c r="D24" s="18" t="s">
        <v>4</v>
      </c>
      <c r="E24" s="19" t="s">
        <v>49</v>
      </c>
    </row>
    <row r="25" spans="1:5" ht="15" customHeight="1" x14ac:dyDescent="0.25">
      <c r="A25" s="15" t="s">
        <v>50</v>
      </c>
      <c r="B25" s="24" t="s">
        <v>51</v>
      </c>
      <c r="C25" s="25">
        <f>'Bankability CF'!V28</f>
        <v>52.428028644372802</v>
      </c>
      <c r="D25" s="18"/>
      <c r="E25" s="19" t="s">
        <v>52</v>
      </c>
    </row>
    <row r="26" spans="1:5" ht="15" customHeight="1" x14ac:dyDescent="0.25">
      <c r="A26" s="19" t="s">
        <v>35</v>
      </c>
      <c r="B26" s="15" t="s">
        <v>53</v>
      </c>
      <c r="C26" s="25">
        <f>'ROI &amp; Investor Returns'!B12</f>
        <v>3.0039170690916221</v>
      </c>
      <c r="D26" s="19" t="s">
        <v>37</v>
      </c>
      <c r="E26" s="19" t="s">
        <v>54</v>
      </c>
    </row>
    <row r="27" spans="1:5" ht="15" customHeight="1" x14ac:dyDescent="0.25">
      <c r="A27" t="s">
        <v>50</v>
      </c>
      <c r="B27" t="s">
        <v>55</v>
      </c>
      <c r="C27" t="e">
        <f>'Credit Metrics'!B21</f>
        <v>#N/A</v>
      </c>
    </row>
    <row r="28" spans="1:5" ht="15" customHeight="1" x14ac:dyDescent="0.25">
      <c r="A28" s="11" t="s">
        <v>56</v>
      </c>
      <c r="B28" s="11"/>
      <c r="C28" s="11"/>
      <c r="D28" s="11"/>
      <c r="E28" s="11"/>
    </row>
    <row r="29" spans="1:5" ht="27.75" customHeight="1" x14ac:dyDescent="0.25">
      <c r="A29" s="10" t="s">
        <v>57</v>
      </c>
      <c r="B29" s="10"/>
      <c r="C29" s="10"/>
      <c r="D29" s="10"/>
      <c r="E29" s="10"/>
    </row>
    <row r="30" spans="1:5" ht="27.75" customHeight="1" x14ac:dyDescent="0.25">
      <c r="A30" s="10" t="s">
        <v>58</v>
      </c>
      <c r="B30" s="10"/>
      <c r="C30" s="10"/>
      <c r="D30" s="10"/>
      <c r="E30" s="10"/>
    </row>
    <row r="31" spans="1:5" ht="27.75" customHeight="1" x14ac:dyDescent="0.25">
      <c r="A31" s="10" t="s">
        <v>59</v>
      </c>
      <c r="B31" s="10"/>
      <c r="C31" s="10"/>
      <c r="D31" s="10"/>
      <c r="E31" s="10"/>
    </row>
    <row r="32" spans="1:5" ht="27.75" customHeight="1" x14ac:dyDescent="0.25">
      <c r="A32" s="10" t="s">
        <v>60</v>
      </c>
      <c r="B32" s="10"/>
      <c r="C32" s="10"/>
      <c r="D32" s="10"/>
      <c r="E32" s="10"/>
    </row>
    <row r="33" spans="1:5" ht="27.75" customHeight="1" x14ac:dyDescent="0.25">
      <c r="A33" s="10" t="s">
        <v>61</v>
      </c>
      <c r="B33" s="10"/>
      <c r="C33" s="10"/>
      <c r="D33" s="10"/>
      <c r="E33" s="10"/>
    </row>
    <row r="34" spans="1:5" ht="27.75" customHeight="1" x14ac:dyDescent="0.25">
      <c r="A34" s="10" t="s">
        <v>62</v>
      </c>
      <c r="B34" s="10"/>
      <c r="C34" s="10"/>
      <c r="D34" s="10"/>
      <c r="E34" s="10"/>
    </row>
    <row r="35" spans="1:5" ht="27.75" customHeight="1" x14ac:dyDescent="0.25">
      <c r="A35" s="10" t="s">
        <v>63</v>
      </c>
      <c r="B35" s="10"/>
      <c r="C35" s="10"/>
      <c r="D35" s="10"/>
      <c r="E35" s="10"/>
    </row>
    <row r="37" spans="1:5" ht="15" customHeight="1" x14ac:dyDescent="0.25">
      <c r="A37" s="26" t="s">
        <v>64</v>
      </c>
      <c r="B37" s="26" t="s">
        <v>65</v>
      </c>
      <c r="C37" s="26" t="s">
        <v>66</v>
      </c>
      <c r="D37" s="26" t="s">
        <v>67</v>
      </c>
      <c r="E37" s="26"/>
    </row>
    <row r="38" spans="1:5" ht="15" customHeight="1" x14ac:dyDescent="0.25">
      <c r="A38" t="s">
        <v>64</v>
      </c>
      <c r="B38" t="s">
        <v>53</v>
      </c>
      <c r="C38" t="s">
        <v>37</v>
      </c>
      <c r="D38" t="s">
        <v>68</v>
      </c>
      <c r="E38" s="27">
        <f>'ROI &amp; Investor Returns'!B12</f>
        <v>3.0039170690916221</v>
      </c>
    </row>
    <row r="39" spans="1:5" ht="15" customHeight="1" x14ac:dyDescent="0.25">
      <c r="A39" t="s">
        <v>64</v>
      </c>
      <c r="B39" t="s">
        <v>69</v>
      </c>
      <c r="C39" t="s">
        <v>28</v>
      </c>
      <c r="D39" t="s">
        <v>70</v>
      </c>
      <c r="E39" s="28">
        <f>'ROI &amp; Investor Returns'!B13</f>
        <v>4.0039170690916226</v>
      </c>
    </row>
    <row r="40" spans="1:5" ht="15" customHeight="1" x14ac:dyDescent="0.25">
      <c r="A40" t="s">
        <v>64</v>
      </c>
      <c r="B40" t="s">
        <v>41</v>
      </c>
      <c r="C40" t="s">
        <v>37</v>
      </c>
      <c r="D40" t="s">
        <v>71</v>
      </c>
      <c r="E40" s="27">
        <f>'ROI &amp; Investor Returns'!B14</f>
        <v>9.4378976883511267E-2</v>
      </c>
    </row>
    <row r="41" spans="1:5" ht="15" customHeight="1" x14ac:dyDescent="0.25">
      <c r="A41" t="s">
        <v>64</v>
      </c>
      <c r="B41" t="s">
        <v>39</v>
      </c>
      <c r="C41" t="s">
        <v>37</v>
      </c>
      <c r="D41" t="s">
        <v>72</v>
      </c>
      <c r="E41" s="27">
        <f>'ROI &amp; Investor Returns'!B15</f>
        <v>0.14522166791157098</v>
      </c>
    </row>
    <row r="42" spans="1:5" ht="15" customHeight="1" x14ac:dyDescent="0.25">
      <c r="A42" t="s">
        <v>64</v>
      </c>
      <c r="B42" t="s">
        <v>73</v>
      </c>
      <c r="C42" t="s">
        <v>4</v>
      </c>
      <c r="D42" t="s">
        <v>74</v>
      </c>
      <c r="E42" s="29">
        <f>'ROI &amp; Investor Returns'!B11</f>
        <v>50.408289296589544</v>
      </c>
    </row>
  </sheetData>
  <mergeCells count="10">
    <mergeCell ref="A31:E31"/>
    <mergeCell ref="A32:E32"/>
    <mergeCell ref="A33:E33"/>
    <mergeCell ref="A34:E34"/>
    <mergeCell ref="A35:E35"/>
    <mergeCell ref="A1:E1"/>
    <mergeCell ref="A2:E2"/>
    <mergeCell ref="A28:E28"/>
    <mergeCell ref="A29:E29"/>
    <mergeCell ref="A30:E30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8"/>
  <sheetViews>
    <sheetView topLeftCell="A5" zoomScale="85" zoomScaleNormal="85" workbookViewId="0"/>
  </sheetViews>
  <sheetFormatPr defaultColWidth="8.7109375" defaultRowHeight="15" customHeight="1" x14ac:dyDescent="0.25"/>
  <cols>
    <col min="1" max="1" width="42" customWidth="1"/>
    <col min="2" max="2" width="24" customWidth="1"/>
    <col min="3" max="3" width="13.85546875" customWidth="1"/>
    <col min="4" max="4" width="34.5703125" customWidth="1"/>
    <col min="5" max="6" width="24" customWidth="1"/>
  </cols>
  <sheetData>
    <row r="1" spans="1:4" ht="49.5" customHeight="1" x14ac:dyDescent="0.25">
      <c r="A1" s="30" t="s">
        <v>75</v>
      </c>
      <c r="B1" s="31"/>
      <c r="C1" s="31"/>
      <c r="D1" s="31"/>
    </row>
    <row r="2" spans="1:4" ht="34.5" customHeight="1" x14ac:dyDescent="0.25">
      <c r="A2" s="9" t="s">
        <v>76</v>
      </c>
      <c r="B2" s="9"/>
      <c r="C2" s="9"/>
      <c r="D2" s="9"/>
    </row>
    <row r="3" spans="1:4" ht="15" customHeight="1" x14ac:dyDescent="0.25">
      <c r="A3" s="32"/>
      <c r="B3" s="32"/>
      <c r="C3" s="32"/>
      <c r="D3" s="32"/>
    </row>
    <row r="4" spans="1:4" ht="49.5" customHeight="1" x14ac:dyDescent="0.25">
      <c r="A4" s="33" t="s">
        <v>77</v>
      </c>
      <c r="B4" s="33" t="s">
        <v>78</v>
      </c>
      <c r="C4" s="33" t="s">
        <v>79</v>
      </c>
      <c r="D4" s="33" t="s">
        <v>80</v>
      </c>
    </row>
    <row r="5" spans="1:4" ht="27.75" customHeight="1" x14ac:dyDescent="0.25">
      <c r="A5" s="34" t="s">
        <v>81</v>
      </c>
      <c r="B5" s="34">
        <v>7.7</v>
      </c>
      <c r="C5" s="34">
        <v>8.85</v>
      </c>
      <c r="D5" s="34" t="s">
        <v>82</v>
      </c>
    </row>
    <row r="6" spans="1:4" ht="27.75" customHeight="1" x14ac:dyDescent="0.25">
      <c r="A6" s="34" t="s">
        <v>83</v>
      </c>
      <c r="B6" s="34">
        <v>0.08</v>
      </c>
      <c r="C6" s="34">
        <v>0.09</v>
      </c>
      <c r="D6" s="34" t="s">
        <v>84</v>
      </c>
    </row>
    <row r="7" spans="1:4" ht="27.75" customHeight="1" x14ac:dyDescent="0.25">
      <c r="A7" s="34" t="s">
        <v>85</v>
      </c>
      <c r="B7" s="34">
        <v>45</v>
      </c>
      <c r="C7" s="34">
        <v>55</v>
      </c>
      <c r="D7" s="34" t="s">
        <v>86</v>
      </c>
    </row>
    <row r="8" spans="1:4" ht="15" customHeight="1" x14ac:dyDescent="0.25">
      <c r="A8" s="34" t="s">
        <v>87</v>
      </c>
      <c r="B8" s="34">
        <v>0.85</v>
      </c>
      <c r="C8" s="34">
        <v>1.0249999999999999</v>
      </c>
      <c r="D8" s="34" t="s">
        <v>88</v>
      </c>
    </row>
    <row r="9" spans="1:4" ht="27.75" customHeight="1" x14ac:dyDescent="0.25">
      <c r="A9" s="34" t="s">
        <v>89</v>
      </c>
      <c r="B9" s="34">
        <v>110</v>
      </c>
      <c r="C9" s="34">
        <v>130</v>
      </c>
      <c r="D9" s="34" t="s">
        <v>90</v>
      </c>
    </row>
    <row r="10" spans="1:4" ht="41.25" customHeight="1" x14ac:dyDescent="0.25">
      <c r="A10" s="34" t="s">
        <v>91</v>
      </c>
      <c r="B10" s="34">
        <v>0.55000000000000004</v>
      </c>
      <c r="C10" s="34">
        <v>0.67500000000000004</v>
      </c>
      <c r="D10" s="34" t="s">
        <v>92</v>
      </c>
    </row>
    <row r="11" spans="1:4" ht="27.75" customHeight="1" x14ac:dyDescent="0.25">
      <c r="A11" s="34" t="s">
        <v>93</v>
      </c>
      <c r="B11" s="34">
        <v>9</v>
      </c>
      <c r="C11" s="34">
        <v>12</v>
      </c>
      <c r="D11" s="34" t="s">
        <v>94</v>
      </c>
    </row>
    <row r="12" spans="1:4" ht="15" customHeight="1" x14ac:dyDescent="0.25">
      <c r="A12" s="34" t="s">
        <v>95</v>
      </c>
      <c r="B12" s="34">
        <v>26.1</v>
      </c>
      <c r="C12" s="34">
        <v>30.55</v>
      </c>
      <c r="D12" s="34" t="s">
        <v>96</v>
      </c>
    </row>
    <row r="13" spans="1:4" ht="15" customHeight="1" x14ac:dyDescent="0.25">
      <c r="A13" s="34" t="s">
        <v>97</v>
      </c>
      <c r="B13" s="34">
        <v>3.5</v>
      </c>
      <c r="C13" s="34">
        <v>4.25</v>
      </c>
      <c r="D13" s="34" t="s">
        <v>98</v>
      </c>
    </row>
    <row r="14" spans="1:4" ht="15" customHeight="1" x14ac:dyDescent="0.25">
      <c r="A14" s="34" t="s">
        <v>99</v>
      </c>
      <c r="B14" s="34">
        <v>30</v>
      </c>
      <c r="C14" s="34">
        <v>35</v>
      </c>
      <c r="D14" s="34" t="s">
        <v>100</v>
      </c>
    </row>
    <row r="15" spans="1:4" ht="41.25" customHeight="1" x14ac:dyDescent="0.25">
      <c r="A15" s="34" t="s">
        <v>101</v>
      </c>
      <c r="B15" s="34">
        <v>0.18</v>
      </c>
      <c r="C15" s="34">
        <v>0.215</v>
      </c>
      <c r="D15" s="34" t="s">
        <v>102</v>
      </c>
    </row>
    <row r="16" spans="1:4" ht="15" customHeight="1" x14ac:dyDescent="0.25">
      <c r="A16" s="34" t="s">
        <v>103</v>
      </c>
      <c r="B16" s="34">
        <v>20</v>
      </c>
      <c r="C16" s="34">
        <v>27.5</v>
      </c>
      <c r="D16" s="34" t="s">
        <v>104</v>
      </c>
    </row>
    <row r="17" spans="1:4" ht="25.5" customHeight="1" x14ac:dyDescent="0.25">
      <c r="A17" s="34" t="s">
        <v>105</v>
      </c>
      <c r="B17" s="34">
        <v>3.5</v>
      </c>
      <c r="C17" s="34">
        <v>4</v>
      </c>
      <c r="D17" s="34" t="s">
        <v>106</v>
      </c>
    </row>
    <row r="18" spans="1:4" ht="27.75" customHeight="1" x14ac:dyDescent="0.25">
      <c r="A18" s="34" t="s">
        <v>107</v>
      </c>
      <c r="B18" s="34">
        <v>0.9</v>
      </c>
      <c r="C18" s="34">
        <v>1.2</v>
      </c>
      <c r="D18" s="34" t="s">
        <v>108</v>
      </c>
    </row>
    <row r="19" spans="1:4" ht="27.75" customHeight="1" x14ac:dyDescent="0.25">
      <c r="A19" s="34" t="s">
        <v>109</v>
      </c>
      <c r="B19" s="34">
        <v>50</v>
      </c>
      <c r="C19" s="34">
        <v>60</v>
      </c>
      <c r="D19" s="34" t="s">
        <v>110</v>
      </c>
    </row>
    <row r="20" spans="1:4" ht="27.75" customHeight="1" x14ac:dyDescent="0.25">
      <c r="A20" s="34" t="s">
        <v>111</v>
      </c>
      <c r="B20" s="34">
        <v>0.45</v>
      </c>
      <c r="C20" s="34">
        <v>0.42499999999999999</v>
      </c>
      <c r="D20" s="34" t="s">
        <v>112</v>
      </c>
    </row>
    <row r="21" spans="1:4" ht="27.75" customHeight="1" x14ac:dyDescent="0.25">
      <c r="A21" s="34" t="s">
        <v>113</v>
      </c>
      <c r="B21" s="34">
        <v>0.5</v>
      </c>
      <c r="C21" s="34">
        <v>0.47499999999999998</v>
      </c>
      <c r="D21" s="34" t="s">
        <v>114</v>
      </c>
    </row>
    <row r="22" spans="1:4" ht="27.75" customHeight="1" x14ac:dyDescent="0.25">
      <c r="A22" s="34" t="s">
        <v>115</v>
      </c>
      <c r="B22" s="34">
        <v>0.6</v>
      </c>
      <c r="C22" s="34">
        <v>0.57499999999999996</v>
      </c>
      <c r="D22" s="34" t="s">
        <v>116</v>
      </c>
    </row>
    <row r="23" spans="1:4" ht="27.75" customHeight="1" x14ac:dyDescent="0.25">
      <c r="A23" s="34" t="s">
        <v>117</v>
      </c>
      <c r="B23" s="34">
        <v>0.52</v>
      </c>
      <c r="C23" s="34">
        <v>0.5</v>
      </c>
      <c r="D23" s="34" t="s">
        <v>116</v>
      </c>
    </row>
    <row r="24" spans="1:4" ht="15" customHeight="1" x14ac:dyDescent="0.25">
      <c r="A24" s="32"/>
      <c r="B24" s="32"/>
      <c r="C24" s="32"/>
      <c r="D24" s="32"/>
    </row>
    <row r="25" spans="1:4" ht="15" customHeight="1" x14ac:dyDescent="0.25">
      <c r="A25" s="32" t="s">
        <v>118</v>
      </c>
      <c r="B25" s="32"/>
      <c r="C25" s="32"/>
      <c r="D25" s="32"/>
    </row>
    <row r="26" spans="1:4" ht="33.75" customHeight="1" x14ac:dyDescent="0.25">
      <c r="A26" s="9" t="s">
        <v>119</v>
      </c>
      <c r="B26" s="9"/>
      <c r="C26" s="9"/>
      <c r="D26" s="9"/>
    </row>
    <row r="27" spans="1:4" ht="19.5" customHeight="1" x14ac:dyDescent="0.25">
      <c r="A27" s="9" t="s">
        <v>120</v>
      </c>
      <c r="B27" s="9"/>
      <c r="C27" s="9"/>
      <c r="D27" s="9"/>
    </row>
    <row r="28" spans="1:4" ht="34.5" customHeight="1" x14ac:dyDescent="0.25">
      <c r="A28" s="9" t="s">
        <v>121</v>
      </c>
      <c r="B28" s="9"/>
      <c r="C28" s="9"/>
      <c r="D28" s="9"/>
    </row>
  </sheetData>
  <mergeCells count="4">
    <mergeCell ref="A2:D2"/>
    <mergeCell ref="A26:D26"/>
    <mergeCell ref="A27:D27"/>
    <mergeCell ref="A28:D28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9"/>
  <sheetViews>
    <sheetView zoomScaleNormal="100" workbookViewId="0">
      <pane xSplit="1" ySplit="4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8.7109375" defaultRowHeight="15" customHeight="1" x14ac:dyDescent="0.25"/>
  <cols>
    <col min="1" max="1" width="27.5703125" customWidth="1"/>
    <col min="2" max="2" width="24" customWidth="1"/>
    <col min="3" max="3" width="16" customWidth="1"/>
    <col min="4" max="4" width="38.85546875" customWidth="1"/>
  </cols>
  <sheetData>
    <row r="1" spans="1:4" ht="25.5" customHeight="1" x14ac:dyDescent="0.25">
      <c r="A1" s="8" t="s">
        <v>122</v>
      </c>
      <c r="B1" s="8"/>
      <c r="C1" s="35"/>
      <c r="D1" s="35"/>
    </row>
    <row r="2" spans="1:4" ht="33" customHeight="1" x14ac:dyDescent="0.25">
      <c r="A2" s="9" t="s">
        <v>123</v>
      </c>
      <c r="B2" s="9"/>
      <c r="C2" s="9"/>
      <c r="D2" s="9"/>
    </row>
    <row r="3" spans="1:4" ht="15" customHeight="1" x14ac:dyDescent="0.25">
      <c r="A3" s="32"/>
      <c r="B3" s="32"/>
      <c r="C3" s="32"/>
      <c r="D3" s="32"/>
    </row>
    <row r="4" spans="1:4" ht="15" customHeight="1" x14ac:dyDescent="0.25">
      <c r="A4" s="36" t="s">
        <v>124</v>
      </c>
      <c r="B4" s="36" t="s">
        <v>125</v>
      </c>
      <c r="C4" s="36" t="s">
        <v>126</v>
      </c>
      <c r="D4" s="36" t="s">
        <v>127</v>
      </c>
    </row>
    <row r="5" spans="1:4" ht="15" customHeight="1" x14ac:dyDescent="0.25">
      <c r="A5" s="37" t="s">
        <v>3</v>
      </c>
      <c r="B5" s="38">
        <f>Inputs!B10</f>
        <v>25</v>
      </c>
      <c r="C5" s="34" t="s">
        <v>4</v>
      </c>
      <c r="D5" s="34" t="s">
        <v>128</v>
      </c>
    </row>
    <row r="6" spans="1:4" ht="15" customHeight="1" x14ac:dyDescent="0.25">
      <c r="A6" s="37" t="s">
        <v>129</v>
      </c>
      <c r="B6" s="38">
        <f>Inputs!B11</f>
        <v>25.125</v>
      </c>
      <c r="C6" s="34" t="s">
        <v>4</v>
      </c>
      <c r="D6" s="34" t="s">
        <v>7</v>
      </c>
    </row>
    <row r="7" spans="1:4" ht="30" customHeight="1" x14ac:dyDescent="0.25">
      <c r="A7" s="37" t="s">
        <v>130</v>
      </c>
      <c r="B7" s="38">
        <f>ABS(SUMIF('Bankability CF'!B27:V27,"&lt;0",'Bankability CF'!B27:V27))</f>
        <v>16.780852512627089</v>
      </c>
      <c r="C7" s="34" t="s">
        <v>4</v>
      </c>
      <c r="D7" s="34" t="s">
        <v>131</v>
      </c>
    </row>
    <row r="8" spans="1:4" ht="30" customHeight="1" x14ac:dyDescent="0.25">
      <c r="A8" s="37" t="s">
        <v>132</v>
      </c>
      <c r="B8" s="38">
        <f>SUMIF('Bankability CF'!B27:V27,"&gt;0",'Bankability CF'!B27:V27)</f>
        <v>14.761113164843842</v>
      </c>
      <c r="C8" s="34" t="s">
        <v>4</v>
      </c>
      <c r="D8" s="34" t="s">
        <v>133</v>
      </c>
    </row>
    <row r="9" spans="1:4" ht="30" customHeight="1" x14ac:dyDescent="0.25">
      <c r="A9" s="37" t="s">
        <v>51</v>
      </c>
      <c r="B9" s="38">
        <f>'Bankability CF'!V28</f>
        <v>52.428028644372802</v>
      </c>
      <c r="C9" s="34" t="s">
        <v>4</v>
      </c>
      <c r="D9" s="34" t="s">
        <v>134</v>
      </c>
    </row>
    <row r="10" spans="1:4" ht="30" customHeight="1" x14ac:dyDescent="0.25">
      <c r="A10" s="37" t="s">
        <v>135</v>
      </c>
      <c r="B10" s="38">
        <f>B8+B9</f>
        <v>67.189141809216636</v>
      </c>
      <c r="C10" s="34" t="s">
        <v>4</v>
      </c>
      <c r="D10" s="34" t="s">
        <v>136</v>
      </c>
    </row>
    <row r="11" spans="1:4" ht="30" customHeight="1" x14ac:dyDescent="0.25">
      <c r="A11" s="37" t="s">
        <v>73</v>
      </c>
      <c r="B11" s="38">
        <f>B10-B7</f>
        <v>50.408289296589544</v>
      </c>
      <c r="C11" s="34" t="s">
        <v>4</v>
      </c>
      <c r="D11" s="34" t="s">
        <v>74</v>
      </c>
    </row>
    <row r="12" spans="1:4" ht="30" customHeight="1" x14ac:dyDescent="0.25">
      <c r="A12" s="39" t="s">
        <v>53</v>
      </c>
      <c r="B12" s="40">
        <f>IF(B7&gt;0,B11/B7,"")</f>
        <v>3.0039170690916221</v>
      </c>
      <c r="C12" s="34" t="s">
        <v>37</v>
      </c>
      <c r="D12" s="34" t="s">
        <v>137</v>
      </c>
    </row>
    <row r="13" spans="1:4" ht="30" customHeight="1" x14ac:dyDescent="0.25">
      <c r="A13" s="39" t="s">
        <v>69</v>
      </c>
      <c r="B13" s="41">
        <f>IF(B7&gt;0,B10/B7,"")</f>
        <v>4.0039170690916226</v>
      </c>
      <c r="C13" s="34" t="s">
        <v>28</v>
      </c>
      <c r="D13" s="34" t="s">
        <v>138</v>
      </c>
    </row>
    <row r="14" spans="1:4" ht="15" customHeight="1" x14ac:dyDescent="0.25">
      <c r="A14" s="39" t="s">
        <v>41</v>
      </c>
      <c r="B14" s="40">
        <f>IRR(C18:C38)</f>
        <v>9.4378976883511267E-2</v>
      </c>
      <c r="C14" s="34" t="s">
        <v>37</v>
      </c>
      <c r="D14" s="34" t="s">
        <v>139</v>
      </c>
    </row>
    <row r="15" spans="1:4" ht="15" customHeight="1" x14ac:dyDescent="0.25">
      <c r="A15" s="39" t="s">
        <v>39</v>
      </c>
      <c r="B15" s="40">
        <f>'Credit Metrics'!B17</f>
        <v>0.14522166791157098</v>
      </c>
      <c r="C15" s="34" t="s">
        <v>37</v>
      </c>
      <c r="D15" s="34" t="s">
        <v>72</v>
      </c>
    </row>
    <row r="16" spans="1:4" ht="15" customHeight="1" x14ac:dyDescent="0.25">
      <c r="A16" s="37" t="s">
        <v>140</v>
      </c>
      <c r="B16" s="38">
        <f>'Credit Metrics'!B19</f>
        <v>9.4025840145015032</v>
      </c>
      <c r="C16" s="34" t="s">
        <v>4</v>
      </c>
      <c r="D16" s="34" t="s">
        <v>141</v>
      </c>
    </row>
    <row r="17" spans="1:4" ht="15" customHeight="1" x14ac:dyDescent="0.25">
      <c r="A17" s="32"/>
      <c r="B17" s="32"/>
      <c r="C17" s="32"/>
      <c r="D17" s="32"/>
    </row>
    <row r="18" spans="1:4" ht="15" customHeight="1" x14ac:dyDescent="0.25">
      <c r="A18" s="36" t="s">
        <v>142</v>
      </c>
      <c r="B18" s="42">
        <f>'Bankability CF'!B27</f>
        <v>-0.40625000000000033</v>
      </c>
      <c r="C18" s="42">
        <f>'Bankability CF'!B27</f>
        <v>-0.40625000000000033</v>
      </c>
      <c r="D18" s="34"/>
    </row>
    <row r="19" spans="1:4" ht="30" customHeight="1" x14ac:dyDescent="0.25">
      <c r="A19" s="34" t="s">
        <v>143</v>
      </c>
      <c r="B19" s="34">
        <f>'Bankability CF'!C27</f>
        <v>-2.7272448612500053</v>
      </c>
      <c r="C19" s="42">
        <f>'Bankability CF'!C27</f>
        <v>-2.7272448612500053</v>
      </c>
      <c r="D19" s="34" t="s">
        <v>144</v>
      </c>
    </row>
    <row r="20" spans="1:4" ht="30" customHeight="1" x14ac:dyDescent="0.25">
      <c r="A20" s="34" t="s">
        <v>145</v>
      </c>
      <c r="B20" s="34">
        <f>'Bankability CF'!D27</f>
        <v>-2.6450328559258982</v>
      </c>
      <c r="C20" s="42">
        <f>'Bankability CF'!D27</f>
        <v>-2.6450328559258982</v>
      </c>
      <c r="D20" s="34" t="s">
        <v>146</v>
      </c>
    </row>
    <row r="21" spans="1:4" ht="30" customHeight="1" x14ac:dyDescent="0.25">
      <c r="A21" s="34" t="s">
        <v>147</v>
      </c>
      <c r="B21" s="34">
        <f>'Bankability CF'!E27</f>
        <v>-2.5757098821872284</v>
      </c>
      <c r="C21" s="42">
        <f>'Bankability CF'!E27</f>
        <v>-2.5757098821872284</v>
      </c>
      <c r="D21" s="34" t="s">
        <v>148</v>
      </c>
    </row>
    <row r="22" spans="1:4" ht="15" customHeight="1" x14ac:dyDescent="0.25">
      <c r="A22" s="34" t="s">
        <v>149</v>
      </c>
      <c r="B22" s="42">
        <f>'Bankability CF'!F27</f>
        <v>-2.5014240173373832</v>
      </c>
      <c r="C22" s="42">
        <f>'Bankability CF'!F27</f>
        <v>-2.5014240173373832</v>
      </c>
      <c r="D22" s="34"/>
    </row>
    <row r="23" spans="1:4" ht="15" customHeight="1" x14ac:dyDescent="0.25">
      <c r="A23" s="36" t="s">
        <v>150</v>
      </c>
      <c r="B23" s="42">
        <f>'Bankability CF'!G27</f>
        <v>-2.4217666359482548</v>
      </c>
      <c r="C23" s="42">
        <f>'Bankability CF'!G27</f>
        <v>-2.4217666359482548</v>
      </c>
      <c r="D23" s="34"/>
    </row>
    <row r="24" spans="1:4" ht="15" customHeight="1" x14ac:dyDescent="0.25">
      <c r="A24" s="34" t="s">
        <v>151</v>
      </c>
      <c r="B24" s="42">
        <f>'Bankability CF'!H27</f>
        <v>-1.7969449812635818</v>
      </c>
      <c r="C24" s="42">
        <f>'Bankability CF'!H27</f>
        <v>-1.7969449812635818</v>
      </c>
      <c r="D24" s="34"/>
    </row>
    <row r="25" spans="1:4" ht="15" customHeight="1" x14ac:dyDescent="0.25">
      <c r="A25" s="34" t="s">
        <v>152</v>
      </c>
      <c r="B25" s="42">
        <f>'Bankability CF'!I27</f>
        <v>-1.7064792787147356</v>
      </c>
      <c r="C25" s="42">
        <f>'Bankability CF'!I27</f>
        <v>-1.7064792787147356</v>
      </c>
      <c r="D25" s="34"/>
    </row>
    <row r="26" spans="1:4" ht="15" customHeight="1" x14ac:dyDescent="0.25">
      <c r="A26" s="43" t="s">
        <v>153</v>
      </c>
      <c r="B26" s="44">
        <f>'Bankability CF'!J27</f>
        <v>0.31705039726339462</v>
      </c>
      <c r="C26" s="44">
        <f>'Bankability CF'!J27</f>
        <v>0.31705039726339462</v>
      </c>
      <c r="D26" s="43"/>
    </row>
    <row r="27" spans="1:4" ht="15" customHeight="1" x14ac:dyDescent="0.25">
      <c r="A27" s="43" t="s">
        <v>154</v>
      </c>
      <c r="B27" s="44">
        <f>'Bankability CF'!K27</f>
        <v>0.41706466724614488</v>
      </c>
      <c r="C27" s="44">
        <f>'Bankability CF'!K27</f>
        <v>0.41706466724614488</v>
      </c>
      <c r="D27" s="43"/>
    </row>
    <row r="28" spans="1:4" ht="15" customHeight="1" x14ac:dyDescent="0.25">
      <c r="A28" s="43" t="s">
        <v>155</v>
      </c>
      <c r="B28" s="44">
        <f>'Bankability CF'!L27</f>
        <v>0.52506711049731458</v>
      </c>
      <c r="C28" s="44">
        <f>'Bankability CF'!L27</f>
        <v>0.52506711049731458</v>
      </c>
      <c r="D28" s="43"/>
    </row>
    <row r="29" spans="1:4" ht="15" customHeight="1" x14ac:dyDescent="0.25">
      <c r="A29" s="43" t="s">
        <v>156</v>
      </c>
      <c r="B29" s="44">
        <f>'Bankability CF'!M27</f>
        <v>0.64171970201314865</v>
      </c>
      <c r="C29" s="44">
        <f>'Bankability CF'!M27</f>
        <v>0.64171970201314865</v>
      </c>
      <c r="D29" s="43"/>
    </row>
    <row r="30" spans="1:4" ht="15" customHeight="1" x14ac:dyDescent="0.25">
      <c r="A30" s="43" t="s">
        <v>157</v>
      </c>
      <c r="B30" s="44">
        <f>'Bankability CF'!N27</f>
        <v>0.76774002167572797</v>
      </c>
      <c r="C30" s="44">
        <f>'Bankability CF'!N27</f>
        <v>0.76774002167572797</v>
      </c>
      <c r="D30" s="43"/>
    </row>
    <row r="31" spans="1:4" ht="15" customHeight="1" x14ac:dyDescent="0.25">
      <c r="A31" s="43" t="s">
        <v>158</v>
      </c>
      <c r="B31" s="44">
        <f>'Bankability CF'!O27</f>
        <v>0.90390597949272311</v>
      </c>
      <c r="C31" s="44">
        <f>'Bankability CF'!O27</f>
        <v>0.90390597949272311</v>
      </c>
      <c r="D31" s="43"/>
    </row>
    <row r="32" spans="1:4" ht="15" customHeight="1" x14ac:dyDescent="0.25">
      <c r="A32" s="43" t="s">
        <v>159</v>
      </c>
      <c r="B32" s="44">
        <f>'Bankability CF'!P27</f>
        <v>1.0510609463417684</v>
      </c>
      <c r="C32" s="44">
        <f>'Bankability CF'!P27</f>
        <v>1.0510609463417684</v>
      </c>
      <c r="D32" s="43"/>
    </row>
    <row r="33" spans="1:4" ht="15" customHeight="1" x14ac:dyDescent="0.25">
      <c r="A33" s="43" t="s">
        <v>160</v>
      </c>
      <c r="B33" s="44">
        <f>'Bankability CF'!Q27</f>
        <v>1.2101193253052667</v>
      </c>
      <c r="C33" s="44">
        <f>'Bankability CF'!Q27</f>
        <v>1.2101193253052667</v>
      </c>
      <c r="D33" s="43"/>
    </row>
    <row r="34" spans="1:4" ht="15" customHeight="1" x14ac:dyDescent="0.25">
      <c r="A34" s="43" t="s">
        <v>161</v>
      </c>
      <c r="B34" s="44">
        <f>'Bankability CF'!R27</f>
        <v>1.3820726017379141</v>
      </c>
      <c r="C34" s="44">
        <f>'Bankability CF'!R27</f>
        <v>1.3820726017379141</v>
      </c>
      <c r="D34" s="43"/>
    </row>
    <row r="35" spans="1:4" ht="15" customHeight="1" x14ac:dyDescent="0.25">
      <c r="A35" s="43" t="s">
        <v>162</v>
      </c>
      <c r="B35" s="44">
        <f>'Bankability CF'!S27</f>
        <v>1.5679959135334602</v>
      </c>
      <c r="C35" s="44">
        <f>'Bankability CF'!S27</f>
        <v>1.5679959135334602</v>
      </c>
      <c r="D35" s="43"/>
    </row>
    <row r="36" spans="1:4" ht="15" customHeight="1" x14ac:dyDescent="0.25">
      <c r="A36" s="43" t="s">
        <v>163</v>
      </c>
      <c r="B36" s="44">
        <f>'Bankability CF'!T27</f>
        <v>1.7690551866728383</v>
      </c>
      <c r="C36" s="44">
        <f>'Bankability CF'!T27</f>
        <v>1.7690551866728383</v>
      </c>
      <c r="D36" s="43"/>
    </row>
    <row r="37" spans="1:4" ht="15" customHeight="1" x14ac:dyDescent="0.25">
      <c r="A37" s="43" t="s">
        <v>164</v>
      </c>
      <c r="B37" s="44">
        <f>'Bankability CF'!U27</f>
        <v>1.9865148850683187</v>
      </c>
      <c r="C37" s="44">
        <f>'Bankability CF'!U27</f>
        <v>1.9865148850683187</v>
      </c>
      <c r="D37" s="43"/>
    </row>
    <row r="38" spans="1:4" ht="15" customHeight="1" x14ac:dyDescent="0.25">
      <c r="A38" s="43" t="s">
        <v>157</v>
      </c>
      <c r="B38" s="43">
        <f>'Bankability CF'!V27+'Bankability CF'!V28</f>
        <v>54.649775072368627</v>
      </c>
      <c r="C38" s="43">
        <f>'Bankability CF'!V27+'Bankability CF'!V28</f>
        <v>54.649775072368627</v>
      </c>
      <c r="D38" s="43"/>
    </row>
    <row r="39" spans="1:4" ht="15" customHeight="1" x14ac:dyDescent="0.25">
      <c r="A39" t="s">
        <v>165</v>
      </c>
    </row>
  </sheetData>
  <mergeCells count="2">
    <mergeCell ref="A1:B1"/>
    <mergeCell ref="A2:D2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9"/>
  <sheetViews>
    <sheetView showGridLines="0" topLeftCell="A21" zoomScale="55" zoomScaleNormal="55" workbookViewId="0"/>
  </sheetViews>
  <sheetFormatPr defaultColWidth="8.7109375" defaultRowHeight="14.25" customHeight="1" x14ac:dyDescent="0.25"/>
  <cols>
    <col min="1" max="1" width="28" customWidth="1"/>
    <col min="2" max="2" width="18" customWidth="1"/>
    <col min="3" max="3" width="31.5703125" customWidth="1"/>
    <col min="4" max="4" width="38.140625" customWidth="1"/>
    <col min="5" max="5" width="22" customWidth="1"/>
    <col min="7" max="7" width="18" customWidth="1"/>
    <col min="8" max="8" width="42" customWidth="1"/>
    <col min="9" max="10" width="4" customWidth="1"/>
  </cols>
  <sheetData>
    <row r="1" spans="1:6" ht="21" customHeight="1" x14ac:dyDescent="0.35">
      <c r="A1" s="7" t="s">
        <v>166</v>
      </c>
      <c r="B1" s="7"/>
      <c r="C1" s="7"/>
      <c r="D1" s="7"/>
      <c r="E1" s="7"/>
    </row>
    <row r="2" spans="1:6" ht="14.25" customHeight="1" x14ac:dyDescent="0.25">
      <c r="A2" s="45" t="s">
        <v>167</v>
      </c>
    </row>
    <row r="3" spans="1:6" ht="15" customHeight="1" x14ac:dyDescent="0.25"/>
    <row r="4" spans="1:6" ht="15" customHeight="1" x14ac:dyDescent="0.25">
      <c r="A4" s="46" t="s">
        <v>168</v>
      </c>
      <c r="D4" s="47" t="s">
        <v>169</v>
      </c>
      <c r="E4" s="47"/>
    </row>
    <row r="5" spans="1:6" ht="14.25" customHeight="1" x14ac:dyDescent="0.25">
      <c r="A5" s="19" t="s">
        <v>3</v>
      </c>
      <c r="B5" s="17">
        <f>CAPEX!G26</f>
        <v>25.125000000000011</v>
      </c>
      <c r="D5" s="48" t="s">
        <v>16</v>
      </c>
      <c r="E5" s="17">
        <f>'Bankability Summary'!C10</f>
        <v>85.690796103630362</v>
      </c>
    </row>
    <row r="6" spans="1:6" ht="28.5" customHeight="1" x14ac:dyDescent="0.25">
      <c r="A6" s="19" t="s">
        <v>170</v>
      </c>
      <c r="B6" s="17">
        <f>CAPEX!B5</f>
        <v>0.125</v>
      </c>
      <c r="D6" s="48" t="s">
        <v>18</v>
      </c>
      <c r="E6" s="17">
        <f>'Bankability Summary'!C11</f>
        <v>47.032499427960644</v>
      </c>
    </row>
    <row r="7" spans="1:6" ht="28.5" customHeight="1" x14ac:dyDescent="0.25">
      <c r="A7" s="19" t="s">
        <v>171</v>
      </c>
      <c r="B7" s="17">
        <f>CAPEX!H26</f>
        <v>0</v>
      </c>
      <c r="D7" s="49" t="s">
        <v>22</v>
      </c>
      <c r="E7" s="50">
        <f>'Bankability Summary'!C13</f>
        <v>16.250000000000014</v>
      </c>
    </row>
    <row r="8" spans="1:6" ht="14.25" customHeight="1" x14ac:dyDescent="0.25">
      <c r="A8" s="19" t="s">
        <v>172</v>
      </c>
      <c r="B8" s="17" t="s">
        <v>173</v>
      </c>
      <c r="D8" s="48" t="s">
        <v>24</v>
      </c>
      <c r="E8" s="17" t="e">
        <f>'Bankability Summary'!C14</f>
        <v>#N/A</v>
      </c>
    </row>
    <row r="9" spans="1:6" ht="14.25" customHeight="1" x14ac:dyDescent="0.25">
      <c r="A9" s="19" t="s">
        <v>174</v>
      </c>
      <c r="B9" s="17">
        <f>CAPEX!D26</f>
        <v>9.0000000000000302</v>
      </c>
      <c r="D9" s="48" t="s">
        <v>27</v>
      </c>
      <c r="E9" s="51" t="e">
        <f>'Bankability Summary'!C15</f>
        <v>#N/A</v>
      </c>
    </row>
    <row r="10" spans="1:6" ht="14.25" customHeight="1" x14ac:dyDescent="0.25">
      <c r="A10" s="19" t="s">
        <v>175</v>
      </c>
      <c r="B10" s="17">
        <f>CAPEX!E26</f>
        <v>2</v>
      </c>
      <c r="D10" s="48" t="s">
        <v>30</v>
      </c>
      <c r="E10" s="21">
        <f>'Bankability Summary'!C16</f>
        <v>0.6998743177311203</v>
      </c>
    </row>
    <row r="11" spans="1:6" ht="14.25" customHeight="1" x14ac:dyDescent="0.25">
      <c r="A11" s="19" t="s">
        <v>176</v>
      </c>
      <c r="B11" s="17" t="s">
        <v>177</v>
      </c>
      <c r="D11" s="48" t="s">
        <v>39</v>
      </c>
      <c r="E11" s="23">
        <f>'Bankability Summary'!C20</f>
        <v>0.14522166791157098</v>
      </c>
    </row>
    <row r="12" spans="1:6" ht="14.25" customHeight="1" x14ac:dyDescent="0.25">
      <c r="D12" s="48" t="s">
        <v>41</v>
      </c>
      <c r="E12" s="23">
        <f>'Credit Metrics'!B18</f>
        <v>9.4378976883511267E-2</v>
      </c>
    </row>
    <row r="13" spans="1:6" ht="14.25" customHeight="1" x14ac:dyDescent="0.25">
      <c r="A13" t="s">
        <v>178</v>
      </c>
      <c r="D13" s="48" t="s">
        <v>53</v>
      </c>
      <c r="E13" s="19">
        <f>'ROI &amp; Investor Returns'!B12</f>
        <v>3.0039170690916221</v>
      </c>
      <c r="F13" t="s">
        <v>37</v>
      </c>
    </row>
    <row r="14" spans="1:6" ht="14.25" customHeight="1" x14ac:dyDescent="0.25">
      <c r="A14" t="s">
        <v>172</v>
      </c>
      <c r="B14" t="s">
        <v>173</v>
      </c>
      <c r="D14" t="s">
        <v>179</v>
      </c>
      <c r="E14">
        <f>'ROI &amp; Investor Returns'!B13</f>
        <v>4.0039170690916226</v>
      </c>
      <c r="F14" t="s">
        <v>28</v>
      </c>
    </row>
    <row r="15" spans="1:6" ht="14.25" customHeight="1" x14ac:dyDescent="0.25">
      <c r="A15" t="s">
        <v>180</v>
      </c>
      <c r="B15" t="s">
        <v>177</v>
      </c>
    </row>
    <row r="16" spans="1:6" ht="14.25" customHeight="1" x14ac:dyDescent="0.25">
      <c r="A16" t="s">
        <v>181</v>
      </c>
      <c r="B16" t="s">
        <v>182</v>
      </c>
    </row>
    <row r="17" spans="1:5" ht="14.25" customHeight="1" x14ac:dyDescent="0.25">
      <c r="A17" t="s">
        <v>176</v>
      </c>
      <c r="B17" t="s">
        <v>177</v>
      </c>
      <c r="D17" s="46" t="s">
        <v>183</v>
      </c>
    </row>
    <row r="18" spans="1:5" ht="14.25" customHeight="1" x14ac:dyDescent="0.25">
      <c r="A18" t="s">
        <v>184</v>
      </c>
      <c r="B18" t="s">
        <v>173</v>
      </c>
      <c r="D18" s="19" t="s">
        <v>185</v>
      </c>
      <c r="E18" s="52" t="s">
        <v>186</v>
      </c>
    </row>
    <row r="19" spans="1:5" ht="45" customHeight="1" x14ac:dyDescent="0.25">
      <c r="D19" s="19" t="s">
        <v>187</v>
      </c>
      <c r="E19" s="53" t="s">
        <v>188</v>
      </c>
    </row>
    <row r="20" spans="1:5" ht="30" customHeight="1" x14ac:dyDescent="0.25">
      <c r="D20" s="19" t="s">
        <v>189</v>
      </c>
      <c r="E20" s="53" t="s">
        <v>190</v>
      </c>
    </row>
    <row r="21" spans="1:5" ht="30" customHeight="1" x14ac:dyDescent="0.25">
      <c r="D21" s="19" t="s">
        <v>191</v>
      </c>
      <c r="E21" s="54" t="s">
        <v>192</v>
      </c>
    </row>
    <row r="22" spans="1:5" ht="15" customHeight="1" x14ac:dyDescent="0.25"/>
    <row r="23" spans="1:5" ht="15" customHeight="1" x14ac:dyDescent="0.25"/>
    <row r="24" spans="1:5" ht="15" customHeight="1" x14ac:dyDescent="0.25"/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  <row r="31" spans="1:5" ht="15" customHeight="1" x14ac:dyDescent="0.25"/>
    <row r="32" spans="1: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8" ht="15" customHeight="1" x14ac:dyDescent="0.25"/>
    <row r="66" spans="1:8" ht="15" customHeight="1" x14ac:dyDescent="0.25"/>
    <row r="67" spans="1:8" ht="15" customHeight="1" x14ac:dyDescent="0.25"/>
    <row r="68" spans="1:8" ht="15" customHeight="1" x14ac:dyDescent="0.25"/>
    <row r="69" spans="1:8" ht="15" customHeight="1" x14ac:dyDescent="0.25"/>
    <row r="70" spans="1:8" ht="15" customHeight="1" x14ac:dyDescent="0.25"/>
    <row r="71" spans="1:8" ht="15" customHeight="1" x14ac:dyDescent="0.25"/>
    <row r="72" spans="1:8" ht="15" customHeight="1" x14ac:dyDescent="0.25"/>
    <row r="73" spans="1:8" ht="14.25" customHeight="1" x14ac:dyDescent="0.25">
      <c r="A73" s="55" t="s">
        <v>165</v>
      </c>
    </row>
    <row r="74" spans="1:8" ht="14.25" customHeight="1" x14ac:dyDescent="0.25">
      <c r="A74" s="56" t="s">
        <v>193</v>
      </c>
    </row>
    <row r="75" spans="1:8" ht="69" customHeight="1" x14ac:dyDescent="0.25">
      <c r="A75" s="9" t="s">
        <v>194</v>
      </c>
      <c r="B75" s="9"/>
      <c r="C75" s="9"/>
      <c r="D75" s="9"/>
      <c r="E75" s="57"/>
      <c r="F75" s="57"/>
      <c r="G75" s="57"/>
      <c r="H75" s="57"/>
    </row>
    <row r="76" spans="1:8" ht="14.25" customHeight="1" x14ac:dyDescent="0.25">
      <c r="A76" s="57"/>
      <c r="B76" s="57"/>
      <c r="C76" s="57"/>
      <c r="D76" s="57"/>
      <c r="E76" s="57"/>
      <c r="F76" s="57"/>
      <c r="G76" s="57"/>
      <c r="H76" s="57"/>
    </row>
    <row r="77" spans="1:8" ht="14.25" customHeight="1" x14ac:dyDescent="0.25">
      <c r="A77" s="57"/>
      <c r="B77" s="57"/>
      <c r="C77" s="57"/>
      <c r="D77" s="57"/>
      <c r="E77" s="57"/>
      <c r="F77" s="57"/>
      <c r="G77" s="57"/>
      <c r="H77" s="57"/>
    </row>
    <row r="78" spans="1:8" ht="14.25" customHeight="1" x14ac:dyDescent="0.25">
      <c r="A78" s="57"/>
      <c r="B78" s="57"/>
      <c r="C78" s="57"/>
      <c r="D78" s="57"/>
      <c r="E78" s="57"/>
      <c r="F78" s="57"/>
      <c r="G78" s="57"/>
      <c r="H78" s="57"/>
    </row>
    <row r="79" spans="1:8" ht="14.25" customHeight="1" x14ac:dyDescent="0.25">
      <c r="A79" s="57" t="s">
        <v>195</v>
      </c>
      <c r="B79" s="57"/>
      <c r="C79" s="57"/>
      <c r="D79" s="57"/>
      <c r="E79" s="57"/>
      <c r="F79" s="57"/>
      <c r="G79" s="57"/>
      <c r="H79" s="57"/>
    </row>
  </sheetData>
  <mergeCells count="2">
    <mergeCell ref="A1:E1"/>
    <mergeCell ref="A75:D75"/>
  </mergeCells>
  <pageMargins left="0.25" right="0.25" top="0.75" bottom="0.75" header="0.3" footer="0.511811023622047"/>
  <pageSetup paperSize="9" orientation="portrait" horizontalDpi="300" verticalDpi="300"/>
  <headerFooter>
    <oddHeader>&amp;C_x005F_x000a__x005F_x000a__x005F_x000a__x005F_x000a__x005F_x000a__x005F_x000a__x005F_x000a__x005F_x000a__x005F_x000a__x005F_x000a__x005F_x000a__x005F_x000a__x005F_x000a_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8"/>
  <sheetViews>
    <sheetView showGridLines="0" zoomScale="115" zoomScaleNormal="115" workbookViewId="0">
      <pane ySplit="4" topLeftCell="A5" activePane="bottomLeft" state="frozen"/>
      <selection pane="bottomLeft" activeCell="F24" sqref="F24"/>
    </sheetView>
  </sheetViews>
  <sheetFormatPr defaultColWidth="8.7109375" defaultRowHeight="14.25" customHeight="1" x14ac:dyDescent="0.25"/>
  <cols>
    <col min="1" max="1" width="9" customWidth="1"/>
    <col min="2" max="2" width="18" customWidth="1"/>
    <col min="3" max="3" width="14" customWidth="1"/>
    <col min="4" max="4" width="18" customWidth="1"/>
    <col min="5" max="5" width="16" customWidth="1"/>
    <col min="6" max="6" width="14" customWidth="1"/>
    <col min="7" max="7" width="16" customWidth="1"/>
    <col min="8" max="8" width="18" customWidth="1"/>
    <col min="9" max="9" width="30" customWidth="1"/>
  </cols>
  <sheetData>
    <row r="1" spans="1:9" ht="21" customHeight="1" x14ac:dyDescent="0.35">
      <c r="A1" s="6" t="s">
        <v>196</v>
      </c>
      <c r="B1" s="6"/>
      <c r="C1" s="6"/>
      <c r="D1" s="6"/>
      <c r="E1" s="6"/>
      <c r="F1" s="6"/>
      <c r="G1" s="6"/>
      <c r="H1" s="6"/>
      <c r="I1" s="6"/>
    </row>
    <row r="2" spans="1:9" ht="14.25" customHeight="1" x14ac:dyDescent="0.25">
      <c r="A2" s="5" t="s">
        <v>197</v>
      </c>
      <c r="B2" s="5"/>
      <c r="C2" s="5"/>
      <c r="D2" s="5"/>
      <c r="E2" s="5"/>
      <c r="F2" s="5"/>
      <c r="G2" s="5"/>
      <c r="H2" s="5"/>
      <c r="I2" s="5"/>
    </row>
    <row r="4" spans="1:9" ht="14.25" customHeight="1" x14ac:dyDescent="0.25">
      <c r="A4" s="58" t="s">
        <v>198</v>
      </c>
      <c r="B4" s="58" t="s">
        <v>199</v>
      </c>
      <c r="C4" s="58" t="s">
        <v>172</v>
      </c>
      <c r="D4" s="58" t="s">
        <v>180</v>
      </c>
      <c r="E4" s="58" t="s">
        <v>181</v>
      </c>
      <c r="F4" s="58" t="s">
        <v>176</v>
      </c>
      <c r="G4" s="58" t="s">
        <v>200</v>
      </c>
      <c r="H4" s="58" t="s">
        <v>201</v>
      </c>
      <c r="I4" s="58" t="s">
        <v>202</v>
      </c>
    </row>
    <row r="5" spans="1:9" ht="14.25" customHeight="1" x14ac:dyDescent="0.25">
      <c r="A5" s="19">
        <v>0</v>
      </c>
      <c r="B5" s="17">
        <v>0.125</v>
      </c>
      <c r="C5" s="17">
        <v>0</v>
      </c>
      <c r="D5" s="17">
        <v>0</v>
      </c>
      <c r="E5" s="17">
        <v>0</v>
      </c>
      <c r="F5" s="17">
        <v>0</v>
      </c>
      <c r="G5" s="59">
        <f t="shared" ref="G5:G25" si="0">SUM(B5:F5)</f>
        <v>0.125</v>
      </c>
      <c r="H5" s="59">
        <f>G5</f>
        <v>0.125</v>
      </c>
      <c r="I5" s="19" t="s">
        <v>203</v>
      </c>
    </row>
    <row r="6" spans="1:9" ht="14.25" customHeight="1" x14ac:dyDescent="0.25">
      <c r="A6" s="19">
        <v>1</v>
      </c>
      <c r="B6" s="17">
        <v>0</v>
      </c>
      <c r="C6" s="17">
        <v>0.65</v>
      </c>
      <c r="D6" s="17">
        <v>1.28571428571429</v>
      </c>
      <c r="E6" s="17">
        <v>0.4</v>
      </c>
      <c r="F6" s="17">
        <v>0.14285714285714299</v>
      </c>
      <c r="G6" s="59">
        <f t="shared" si="0"/>
        <v>2.4785714285714326</v>
      </c>
      <c r="H6" s="59">
        <f t="shared" ref="H6:H25" si="1">H5+G6</f>
        <v>2.6035714285714326</v>
      </c>
      <c r="I6" s="19" t="s">
        <v>204</v>
      </c>
    </row>
    <row r="7" spans="1:9" ht="14.25" customHeight="1" x14ac:dyDescent="0.25">
      <c r="A7" s="19">
        <v>2</v>
      </c>
      <c r="B7" s="17">
        <v>0</v>
      </c>
      <c r="C7" s="17">
        <v>0.65</v>
      </c>
      <c r="D7" s="17">
        <v>1.28571428571429</v>
      </c>
      <c r="E7" s="17">
        <v>0.4</v>
      </c>
      <c r="F7" s="17">
        <v>0.14285714285714299</v>
      </c>
      <c r="G7" s="60">
        <f t="shared" si="0"/>
        <v>2.4785714285714326</v>
      </c>
      <c r="H7" s="60">
        <f t="shared" si="1"/>
        <v>5.0821428571428653</v>
      </c>
      <c r="I7" s="19" t="s">
        <v>204</v>
      </c>
    </row>
    <row r="8" spans="1:9" ht="14.25" customHeight="1" x14ac:dyDescent="0.25">
      <c r="A8" s="19">
        <v>3</v>
      </c>
      <c r="B8" s="17">
        <v>0</v>
      </c>
      <c r="C8" s="17">
        <v>0.65</v>
      </c>
      <c r="D8" s="17">
        <v>1.28571428571429</v>
      </c>
      <c r="E8" s="17">
        <v>0.4</v>
      </c>
      <c r="F8" s="17">
        <v>0.14285714285714299</v>
      </c>
      <c r="G8" s="60">
        <f t="shared" si="0"/>
        <v>2.4785714285714326</v>
      </c>
      <c r="H8" s="60">
        <f t="shared" si="1"/>
        <v>7.5607142857142975</v>
      </c>
      <c r="I8" s="19" t="s">
        <v>204</v>
      </c>
    </row>
    <row r="9" spans="1:9" ht="14.25" customHeight="1" x14ac:dyDescent="0.25">
      <c r="A9" s="19">
        <v>4</v>
      </c>
      <c r="B9" s="17">
        <v>0</v>
      </c>
      <c r="C9" s="17">
        <v>0.65</v>
      </c>
      <c r="D9" s="17">
        <v>1.28571428571429</v>
      </c>
      <c r="E9" s="17">
        <v>0.4</v>
      </c>
      <c r="F9" s="17">
        <v>0.14285714285714299</v>
      </c>
      <c r="G9" s="60">
        <f t="shared" si="0"/>
        <v>2.4785714285714326</v>
      </c>
      <c r="H9" s="60">
        <f t="shared" si="1"/>
        <v>10.039285714285731</v>
      </c>
      <c r="I9" s="19" t="s">
        <v>204</v>
      </c>
    </row>
    <row r="10" spans="1:9" ht="14.25" customHeight="1" x14ac:dyDescent="0.25">
      <c r="A10" s="19">
        <v>5</v>
      </c>
      <c r="B10" s="17">
        <v>0</v>
      </c>
      <c r="C10" s="17">
        <v>0.65</v>
      </c>
      <c r="D10" s="17">
        <v>1.28571428571429</v>
      </c>
      <c r="E10" s="17">
        <v>0.4</v>
      </c>
      <c r="F10" s="17">
        <v>0.14285714285714299</v>
      </c>
      <c r="G10" s="60">
        <f t="shared" si="0"/>
        <v>2.4785714285714326</v>
      </c>
      <c r="H10" s="60">
        <f t="shared" si="1"/>
        <v>12.517857142857164</v>
      </c>
      <c r="I10" s="19" t="s">
        <v>204</v>
      </c>
    </row>
    <row r="11" spans="1:9" ht="14.25" customHeight="1" x14ac:dyDescent="0.25">
      <c r="A11" s="19">
        <v>6</v>
      </c>
      <c r="B11" s="17">
        <v>0</v>
      </c>
      <c r="C11" s="17">
        <v>0.65</v>
      </c>
      <c r="D11" s="17">
        <v>1.28571428571429</v>
      </c>
      <c r="E11" s="17">
        <v>0</v>
      </c>
      <c r="F11" s="17">
        <v>0.14285714285714299</v>
      </c>
      <c r="G11" s="60">
        <f t="shared" si="0"/>
        <v>2.0785714285714327</v>
      </c>
      <c r="H11" s="60">
        <f t="shared" si="1"/>
        <v>14.596428571428596</v>
      </c>
      <c r="I11" s="19" t="s">
        <v>205</v>
      </c>
    </row>
    <row r="12" spans="1:9" ht="14.25" customHeight="1" x14ac:dyDescent="0.25">
      <c r="A12" s="19">
        <v>7</v>
      </c>
      <c r="B12" s="17">
        <v>0</v>
      </c>
      <c r="C12" s="17">
        <v>0.65</v>
      </c>
      <c r="D12" s="17">
        <v>1.28571428571429</v>
      </c>
      <c r="E12" s="17">
        <v>0</v>
      </c>
      <c r="F12" s="17">
        <v>0.14285714285714299</v>
      </c>
      <c r="G12" s="60">
        <f t="shared" si="0"/>
        <v>2.0785714285714327</v>
      </c>
      <c r="H12" s="60">
        <f t="shared" si="1"/>
        <v>16.675000000000029</v>
      </c>
      <c r="I12" s="19" t="s">
        <v>205</v>
      </c>
    </row>
    <row r="13" spans="1:9" ht="14.25" customHeight="1" x14ac:dyDescent="0.25">
      <c r="A13" s="19">
        <v>8</v>
      </c>
      <c r="B13" s="17">
        <v>0</v>
      </c>
      <c r="C13" s="17">
        <v>0.65</v>
      </c>
      <c r="D13" s="17">
        <v>0</v>
      </c>
      <c r="E13" s="17">
        <v>0</v>
      </c>
      <c r="F13" s="17">
        <v>0</v>
      </c>
      <c r="G13" s="60">
        <f t="shared" si="0"/>
        <v>0.65</v>
      </c>
      <c r="H13" s="60">
        <f t="shared" si="1"/>
        <v>17.325000000000028</v>
      </c>
      <c r="I13" s="19" t="s">
        <v>206</v>
      </c>
    </row>
    <row r="14" spans="1:9" ht="14.25" customHeight="1" x14ac:dyDescent="0.25">
      <c r="A14" s="19">
        <v>9</v>
      </c>
      <c r="B14" s="17">
        <v>0</v>
      </c>
      <c r="C14" s="17">
        <v>0.65</v>
      </c>
      <c r="D14" s="17">
        <v>0</v>
      </c>
      <c r="E14" s="17">
        <v>0</v>
      </c>
      <c r="F14" s="17">
        <v>0</v>
      </c>
      <c r="G14" s="60">
        <f t="shared" si="0"/>
        <v>0.65</v>
      </c>
      <c r="H14" s="60">
        <f t="shared" si="1"/>
        <v>17.975000000000026</v>
      </c>
      <c r="I14" s="19" t="s">
        <v>206</v>
      </c>
    </row>
    <row r="15" spans="1:9" ht="14.25" customHeight="1" x14ac:dyDescent="0.25">
      <c r="A15" s="19">
        <v>10</v>
      </c>
      <c r="B15" s="17">
        <v>0</v>
      </c>
      <c r="C15" s="17">
        <v>0.65</v>
      </c>
      <c r="D15" s="17">
        <v>0</v>
      </c>
      <c r="E15" s="17">
        <v>0</v>
      </c>
      <c r="F15" s="17">
        <v>0</v>
      </c>
      <c r="G15" s="60">
        <f t="shared" si="0"/>
        <v>0.65</v>
      </c>
      <c r="H15" s="60">
        <f t="shared" si="1"/>
        <v>18.625000000000025</v>
      </c>
      <c r="I15" s="19" t="s">
        <v>206</v>
      </c>
    </row>
    <row r="16" spans="1:9" ht="14.25" customHeight="1" x14ac:dyDescent="0.25">
      <c r="A16" s="19">
        <v>11</v>
      </c>
      <c r="B16" s="17">
        <v>0</v>
      </c>
      <c r="C16" s="17">
        <v>0.65</v>
      </c>
      <c r="D16" s="17">
        <v>0</v>
      </c>
      <c r="E16" s="17">
        <v>0</v>
      </c>
      <c r="F16" s="17">
        <v>0</v>
      </c>
      <c r="G16" s="60">
        <f t="shared" si="0"/>
        <v>0.65</v>
      </c>
      <c r="H16" s="60">
        <f t="shared" si="1"/>
        <v>19.275000000000023</v>
      </c>
      <c r="I16" s="19" t="s">
        <v>206</v>
      </c>
    </row>
    <row r="17" spans="1:9" ht="14.25" customHeight="1" x14ac:dyDescent="0.25">
      <c r="A17" s="19">
        <v>12</v>
      </c>
      <c r="B17" s="17">
        <v>0</v>
      </c>
      <c r="C17" s="17">
        <v>0.65</v>
      </c>
      <c r="D17" s="17">
        <v>0</v>
      </c>
      <c r="E17" s="17">
        <v>0</v>
      </c>
      <c r="F17" s="17">
        <v>0</v>
      </c>
      <c r="G17" s="60">
        <f t="shared" si="0"/>
        <v>0.65</v>
      </c>
      <c r="H17" s="60">
        <f t="shared" si="1"/>
        <v>19.925000000000022</v>
      </c>
      <c r="I17" s="19" t="s">
        <v>206</v>
      </c>
    </row>
    <row r="18" spans="1:9" ht="14.25" customHeight="1" x14ac:dyDescent="0.25">
      <c r="A18" s="19">
        <v>13</v>
      </c>
      <c r="B18" s="17">
        <v>0</v>
      </c>
      <c r="C18" s="17">
        <v>0.65</v>
      </c>
      <c r="D18" s="17">
        <v>0</v>
      </c>
      <c r="E18" s="17">
        <v>0</v>
      </c>
      <c r="F18" s="17">
        <v>0</v>
      </c>
      <c r="G18" s="60">
        <f t="shared" si="0"/>
        <v>0.65</v>
      </c>
      <c r="H18" s="60">
        <f t="shared" si="1"/>
        <v>20.575000000000021</v>
      </c>
      <c r="I18" s="19" t="s">
        <v>206</v>
      </c>
    </row>
    <row r="19" spans="1:9" ht="14.25" customHeight="1" x14ac:dyDescent="0.25">
      <c r="A19" s="19">
        <v>14</v>
      </c>
      <c r="B19" s="17">
        <v>0</v>
      </c>
      <c r="C19" s="17">
        <v>0.65</v>
      </c>
      <c r="D19" s="17">
        <v>0</v>
      </c>
      <c r="E19" s="17">
        <v>0</v>
      </c>
      <c r="F19" s="17">
        <v>0</v>
      </c>
      <c r="G19" s="60">
        <f t="shared" si="0"/>
        <v>0.65</v>
      </c>
      <c r="H19" s="60">
        <f t="shared" si="1"/>
        <v>21.225000000000019</v>
      </c>
      <c r="I19" s="19" t="s">
        <v>206</v>
      </c>
    </row>
    <row r="20" spans="1:9" ht="14.25" customHeight="1" x14ac:dyDescent="0.25">
      <c r="A20" s="19">
        <v>15</v>
      </c>
      <c r="B20" s="17">
        <v>0</v>
      </c>
      <c r="C20" s="17">
        <v>0.65</v>
      </c>
      <c r="D20" s="17">
        <v>0</v>
      </c>
      <c r="E20" s="17">
        <v>0</v>
      </c>
      <c r="F20" s="17">
        <v>0</v>
      </c>
      <c r="G20" s="60">
        <f t="shared" si="0"/>
        <v>0.65</v>
      </c>
      <c r="H20" s="60">
        <f t="shared" si="1"/>
        <v>21.875000000000018</v>
      </c>
      <c r="I20" s="19" t="s">
        <v>206</v>
      </c>
    </row>
    <row r="21" spans="1:9" ht="14.25" customHeight="1" x14ac:dyDescent="0.25">
      <c r="A21" s="19">
        <v>16</v>
      </c>
      <c r="B21" s="17">
        <v>0</v>
      </c>
      <c r="C21" s="17">
        <v>0.65</v>
      </c>
      <c r="D21" s="17">
        <v>0</v>
      </c>
      <c r="E21" s="17">
        <v>0</v>
      </c>
      <c r="F21" s="17">
        <v>0</v>
      </c>
      <c r="G21" s="60">
        <f t="shared" si="0"/>
        <v>0.65</v>
      </c>
      <c r="H21" s="60">
        <f t="shared" si="1"/>
        <v>22.525000000000016</v>
      </c>
      <c r="I21" s="19" t="s">
        <v>206</v>
      </c>
    </row>
    <row r="22" spans="1:9" ht="14.25" customHeight="1" x14ac:dyDescent="0.25">
      <c r="A22" s="19">
        <v>17</v>
      </c>
      <c r="B22" s="17">
        <v>0</v>
      </c>
      <c r="C22" s="17">
        <v>0.65</v>
      </c>
      <c r="D22" s="17">
        <v>0</v>
      </c>
      <c r="E22" s="17">
        <v>0</v>
      </c>
      <c r="F22" s="17">
        <v>0</v>
      </c>
      <c r="G22" s="60">
        <f t="shared" si="0"/>
        <v>0.65</v>
      </c>
      <c r="H22" s="60">
        <f t="shared" si="1"/>
        <v>23.175000000000015</v>
      </c>
      <c r="I22" s="19" t="s">
        <v>206</v>
      </c>
    </row>
    <row r="23" spans="1:9" ht="14.25" customHeight="1" x14ac:dyDescent="0.25">
      <c r="A23" s="19">
        <v>18</v>
      </c>
      <c r="B23" s="17">
        <v>0</v>
      </c>
      <c r="C23" s="17">
        <v>0.65</v>
      </c>
      <c r="D23" s="17">
        <v>0</v>
      </c>
      <c r="E23" s="17">
        <v>0</v>
      </c>
      <c r="F23" s="17">
        <v>0</v>
      </c>
      <c r="G23" s="60">
        <f t="shared" si="0"/>
        <v>0.65</v>
      </c>
      <c r="H23" s="60">
        <f t="shared" si="1"/>
        <v>23.825000000000014</v>
      </c>
      <c r="I23" s="19" t="s">
        <v>206</v>
      </c>
    </row>
    <row r="24" spans="1:9" ht="14.25" customHeight="1" x14ac:dyDescent="0.25">
      <c r="A24" s="19">
        <v>19</v>
      </c>
      <c r="B24" s="17">
        <v>0</v>
      </c>
      <c r="C24" s="17">
        <v>0.65</v>
      </c>
      <c r="D24" s="17">
        <v>0</v>
      </c>
      <c r="E24" s="17">
        <v>0</v>
      </c>
      <c r="F24" s="17">
        <v>0</v>
      </c>
      <c r="G24" s="60">
        <f t="shared" si="0"/>
        <v>0.65</v>
      </c>
      <c r="H24" s="60">
        <f t="shared" si="1"/>
        <v>24.475000000000012</v>
      </c>
      <c r="I24" s="19" t="s">
        <v>206</v>
      </c>
    </row>
    <row r="25" spans="1:9" ht="14.25" customHeight="1" x14ac:dyDescent="0.25">
      <c r="A25" s="19">
        <v>20</v>
      </c>
      <c r="B25" s="17">
        <v>0</v>
      </c>
      <c r="C25" s="17">
        <v>0.65</v>
      </c>
      <c r="D25" s="17">
        <v>0</v>
      </c>
      <c r="E25" s="17">
        <v>0</v>
      </c>
      <c r="F25" s="17">
        <v>0</v>
      </c>
      <c r="G25" s="60">
        <f t="shared" si="0"/>
        <v>0.65</v>
      </c>
      <c r="H25" s="60">
        <f t="shared" si="1"/>
        <v>25.125000000000011</v>
      </c>
      <c r="I25" s="19" t="s">
        <v>206</v>
      </c>
    </row>
    <row r="26" spans="1:9" ht="14.25" customHeight="1" x14ac:dyDescent="0.25">
      <c r="A26" s="19" t="s">
        <v>207</v>
      </c>
      <c r="B26" s="17">
        <f t="shared" ref="B26:G26" si="2">SUM(B5:B25)</f>
        <v>0.125</v>
      </c>
      <c r="C26" s="17">
        <f t="shared" si="2"/>
        <v>13.000000000000004</v>
      </c>
      <c r="D26" s="17">
        <f t="shared" si="2"/>
        <v>9.0000000000000302</v>
      </c>
      <c r="E26" s="17">
        <f t="shared" si="2"/>
        <v>2</v>
      </c>
      <c r="F26" s="17">
        <f t="shared" si="2"/>
        <v>1.0000000000000009</v>
      </c>
      <c r="G26" s="60">
        <f t="shared" si="2"/>
        <v>25.125000000000011</v>
      </c>
      <c r="H26" s="60"/>
      <c r="I26" s="19"/>
    </row>
    <row r="28" spans="1:9" ht="14.25" customHeight="1" x14ac:dyDescent="0.25">
      <c r="A28" s="55" t="s">
        <v>165</v>
      </c>
    </row>
  </sheetData>
  <mergeCells count="2">
    <mergeCell ref="A1:I1"/>
    <mergeCell ref="A2:I2"/>
  </mergeCell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80"/>
  <sheetViews>
    <sheetView showGridLines="0" zoomScale="40" zoomScaleNormal="4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4.25" customHeight="1" x14ac:dyDescent="0.25"/>
  <cols>
    <col min="1" max="1" width="29" customWidth="1"/>
    <col min="2" max="2" width="12.85546875" customWidth="1"/>
    <col min="3" max="3" width="14.5703125" customWidth="1"/>
    <col min="4" max="4" width="21.140625" customWidth="1"/>
    <col min="5" max="5" width="75" customWidth="1"/>
    <col min="6" max="6" width="15.7109375" customWidth="1"/>
  </cols>
  <sheetData>
    <row r="1" spans="1:5" ht="21" customHeight="1" x14ac:dyDescent="0.35">
      <c r="A1" s="6" t="s">
        <v>208</v>
      </c>
      <c r="B1" s="6"/>
      <c r="C1" s="6"/>
      <c r="D1" s="6"/>
      <c r="E1" s="6"/>
    </row>
    <row r="2" spans="1:5" ht="14.25" customHeight="1" x14ac:dyDescent="0.25">
      <c r="A2" s="4" t="s">
        <v>209</v>
      </c>
      <c r="B2" s="4"/>
      <c r="C2" s="4"/>
      <c r="D2" s="4"/>
      <c r="E2" s="4"/>
    </row>
    <row r="4" spans="1:5" ht="14.25" customHeight="1" x14ac:dyDescent="0.25">
      <c r="A4" s="61" t="s">
        <v>210</v>
      </c>
      <c r="B4" s="61" t="s">
        <v>211</v>
      </c>
      <c r="C4" s="61" t="s">
        <v>212</v>
      </c>
      <c r="D4" s="61" t="s">
        <v>213</v>
      </c>
      <c r="E4" s="61" t="s">
        <v>67</v>
      </c>
    </row>
    <row r="5" spans="1:5" ht="14.25" customHeight="1" x14ac:dyDescent="0.25">
      <c r="A5" s="62" t="s">
        <v>214</v>
      </c>
      <c r="B5" s="63">
        <v>0.125</v>
      </c>
      <c r="C5" s="62" t="s">
        <v>4</v>
      </c>
      <c r="D5" s="62" t="s">
        <v>215</v>
      </c>
      <c r="E5" s="62" t="s">
        <v>216</v>
      </c>
    </row>
    <row r="6" spans="1:5" ht="14.25" customHeight="1" x14ac:dyDescent="0.25">
      <c r="A6" s="62" t="s">
        <v>8</v>
      </c>
      <c r="B6" s="63">
        <v>13</v>
      </c>
      <c r="C6" s="62" t="s">
        <v>4</v>
      </c>
      <c r="D6" s="62" t="s">
        <v>215</v>
      </c>
      <c r="E6" s="62" t="s">
        <v>217</v>
      </c>
    </row>
    <row r="7" spans="1:5" ht="14.25" customHeight="1" x14ac:dyDescent="0.25">
      <c r="A7" s="62" t="s">
        <v>218</v>
      </c>
      <c r="B7" s="63">
        <v>9</v>
      </c>
      <c r="C7" s="62" t="s">
        <v>4</v>
      </c>
      <c r="D7" s="62" t="s">
        <v>215</v>
      </c>
      <c r="E7" s="62" t="s">
        <v>217</v>
      </c>
    </row>
    <row r="8" spans="1:5" ht="14.25" customHeight="1" x14ac:dyDescent="0.25">
      <c r="A8" s="62" t="s">
        <v>12</v>
      </c>
      <c r="B8" s="63">
        <v>2</v>
      </c>
      <c r="C8" s="62" t="s">
        <v>4</v>
      </c>
      <c r="D8" s="62" t="s">
        <v>215</v>
      </c>
      <c r="E8" s="62" t="s">
        <v>217</v>
      </c>
    </row>
    <row r="9" spans="1:5" ht="14.25" customHeight="1" x14ac:dyDescent="0.25">
      <c r="A9" s="62" t="s">
        <v>219</v>
      </c>
      <c r="B9" s="63">
        <v>1</v>
      </c>
      <c r="C9" s="62" t="s">
        <v>4</v>
      </c>
      <c r="D9" s="62" t="s">
        <v>215</v>
      </c>
      <c r="E9" s="62" t="s">
        <v>217</v>
      </c>
    </row>
    <row r="10" spans="1:5" ht="14.25" customHeight="1" x14ac:dyDescent="0.25">
      <c r="A10" s="62" t="s">
        <v>3</v>
      </c>
      <c r="B10" s="63">
        <v>25</v>
      </c>
      <c r="C10" s="62" t="s">
        <v>4</v>
      </c>
      <c r="D10" s="62" t="s">
        <v>220</v>
      </c>
      <c r="E10" s="62" t="s">
        <v>221</v>
      </c>
    </row>
    <row r="11" spans="1:5" ht="14.25" customHeight="1" x14ac:dyDescent="0.25">
      <c r="A11" s="62" t="s">
        <v>6</v>
      </c>
      <c r="B11" s="63">
        <v>25.125</v>
      </c>
      <c r="C11" s="62" t="s">
        <v>4</v>
      </c>
      <c r="D11" s="62" t="s">
        <v>220</v>
      </c>
      <c r="E11" s="62" t="s">
        <v>222</v>
      </c>
    </row>
    <row r="12" spans="1:5" ht="14.25" customHeight="1" x14ac:dyDescent="0.25">
      <c r="A12" s="62" t="s">
        <v>223</v>
      </c>
      <c r="B12" s="63">
        <v>20</v>
      </c>
      <c r="C12" s="62" t="s">
        <v>224</v>
      </c>
      <c r="D12" s="62" t="s">
        <v>225</v>
      </c>
      <c r="E12" s="62" t="s">
        <v>226</v>
      </c>
    </row>
    <row r="13" spans="1:5" ht="14.25" customHeight="1" x14ac:dyDescent="0.25">
      <c r="A13" s="62" t="s">
        <v>227</v>
      </c>
      <c r="B13" s="63">
        <v>7</v>
      </c>
      <c r="C13" s="62" t="s">
        <v>224</v>
      </c>
      <c r="D13" s="62" t="s">
        <v>225</v>
      </c>
      <c r="E13" s="62" t="s">
        <v>228</v>
      </c>
    </row>
    <row r="14" spans="1:5" ht="14.25" customHeight="1" x14ac:dyDescent="0.25">
      <c r="A14" s="62" t="s">
        <v>229</v>
      </c>
      <c r="B14" s="63">
        <v>5</v>
      </c>
      <c r="C14" s="62" t="s">
        <v>224</v>
      </c>
      <c r="D14" s="62" t="s">
        <v>230</v>
      </c>
      <c r="E14" s="62" t="s">
        <v>231</v>
      </c>
    </row>
    <row r="15" spans="1:5" ht="14.25" customHeight="1" x14ac:dyDescent="0.25">
      <c r="A15" s="62" t="s">
        <v>232</v>
      </c>
      <c r="B15" s="63">
        <v>7</v>
      </c>
      <c r="C15" s="62" t="s">
        <v>224</v>
      </c>
      <c r="D15" s="62" t="s">
        <v>215</v>
      </c>
      <c r="E15" s="62" t="s">
        <v>217</v>
      </c>
    </row>
    <row r="16" spans="1:5" ht="27.75" customHeight="1" x14ac:dyDescent="0.25">
      <c r="A16" s="62" t="s">
        <v>233</v>
      </c>
      <c r="B16" s="63">
        <v>20</v>
      </c>
      <c r="C16" s="62" t="s">
        <v>224</v>
      </c>
      <c r="D16" s="62" t="s">
        <v>234</v>
      </c>
      <c r="E16" s="62" t="s">
        <v>235</v>
      </c>
    </row>
    <row r="17" spans="1:6" ht="14.25" customHeight="1" x14ac:dyDescent="0.25">
      <c r="A17" s="62" t="s">
        <v>236</v>
      </c>
      <c r="B17" s="63"/>
      <c r="C17" s="62"/>
      <c r="D17" s="62"/>
      <c r="E17" s="62"/>
    </row>
    <row r="18" spans="1:6" ht="14.25" customHeight="1" x14ac:dyDescent="0.25">
      <c r="A18" s="62" t="s">
        <v>237</v>
      </c>
      <c r="B18" s="63">
        <v>8.85</v>
      </c>
      <c r="C18" s="62" t="s">
        <v>238</v>
      </c>
      <c r="D18" s="62" t="s">
        <v>239</v>
      </c>
      <c r="E18" s="62" t="s">
        <v>240</v>
      </c>
    </row>
    <row r="19" spans="1:6" ht="14.25" customHeight="1" x14ac:dyDescent="0.25">
      <c r="A19" s="62" t="s">
        <v>83</v>
      </c>
      <c r="B19" s="64">
        <v>0.09</v>
      </c>
      <c r="C19" s="62" t="s">
        <v>37</v>
      </c>
      <c r="D19" s="62" t="s">
        <v>239</v>
      </c>
      <c r="E19" s="62" t="s">
        <v>240</v>
      </c>
    </row>
    <row r="20" spans="1:6" ht="14.25" customHeight="1" x14ac:dyDescent="0.25">
      <c r="A20" s="62" t="s">
        <v>241</v>
      </c>
      <c r="B20" s="63">
        <v>55</v>
      </c>
      <c r="C20" s="62" t="s">
        <v>242</v>
      </c>
      <c r="D20" s="62" t="s">
        <v>239</v>
      </c>
      <c r="E20" s="62" t="s">
        <v>240</v>
      </c>
      <c r="F20" s="65"/>
    </row>
    <row r="21" spans="1:6" ht="14.25" customHeight="1" x14ac:dyDescent="0.25">
      <c r="A21" s="62" t="s">
        <v>243</v>
      </c>
      <c r="B21" s="63">
        <v>1.0249999999999999</v>
      </c>
      <c r="C21" s="62" t="s">
        <v>244</v>
      </c>
      <c r="D21" s="62" t="s">
        <v>239</v>
      </c>
      <c r="E21" s="62" t="s">
        <v>240</v>
      </c>
    </row>
    <row r="22" spans="1:6" ht="14.25" customHeight="1" x14ac:dyDescent="0.25">
      <c r="A22" s="62" t="s">
        <v>245</v>
      </c>
      <c r="B22" s="64">
        <v>0.08</v>
      </c>
      <c r="C22" s="62" t="s">
        <v>37</v>
      </c>
      <c r="D22" s="62" t="s">
        <v>239</v>
      </c>
      <c r="E22" s="62" t="s">
        <v>240</v>
      </c>
    </row>
    <row r="23" spans="1:6" ht="14.25" customHeight="1" x14ac:dyDescent="0.25">
      <c r="A23" s="62" t="s">
        <v>246</v>
      </c>
      <c r="B23" s="63">
        <v>130</v>
      </c>
      <c r="C23" s="62" t="s">
        <v>247</v>
      </c>
      <c r="D23" s="62" t="s">
        <v>239</v>
      </c>
      <c r="E23" s="62" t="s">
        <v>240</v>
      </c>
    </row>
    <row r="24" spans="1:6" ht="29.25" customHeight="1" x14ac:dyDescent="0.25">
      <c r="A24" s="62" t="s">
        <v>248</v>
      </c>
      <c r="B24" s="64">
        <v>0.67500000000000004</v>
      </c>
      <c r="C24" s="62" t="s">
        <v>37</v>
      </c>
      <c r="D24" s="62" t="s">
        <v>239</v>
      </c>
      <c r="E24" s="62" t="s">
        <v>240</v>
      </c>
    </row>
    <row r="25" spans="1:6" ht="14.25" customHeight="1" x14ac:dyDescent="0.25">
      <c r="A25" s="62"/>
      <c r="B25" s="63">
        <f>+((((B18*1000000)*B20)/1000000000)+(((B21*1000000)*B23)/1000000000))+(1*B24)</f>
        <v>1.2949999999999999</v>
      </c>
      <c r="C25" s="62"/>
      <c r="D25" s="62"/>
      <c r="E25" s="62"/>
    </row>
    <row r="26" spans="1:6" ht="14.25" customHeight="1" x14ac:dyDescent="0.25">
      <c r="A26" s="62" t="s">
        <v>249</v>
      </c>
      <c r="B26" s="64"/>
      <c r="C26" s="62"/>
      <c r="D26" s="62"/>
      <c r="E26" s="62"/>
    </row>
    <row r="27" spans="1:6" ht="14.25" customHeight="1" x14ac:dyDescent="0.25">
      <c r="A27" s="62" t="s">
        <v>250</v>
      </c>
      <c r="B27" s="63">
        <v>12</v>
      </c>
      <c r="C27" s="62" t="s">
        <v>251</v>
      </c>
      <c r="D27" s="62" t="s">
        <v>239</v>
      </c>
      <c r="E27" s="62" t="s">
        <v>240</v>
      </c>
    </row>
    <row r="28" spans="1:6" ht="14.25" customHeight="1" x14ac:dyDescent="0.25">
      <c r="A28" s="62" t="s">
        <v>252</v>
      </c>
      <c r="B28" s="64">
        <v>7.0000000000000007E-2</v>
      </c>
      <c r="C28" s="62" t="s">
        <v>37</v>
      </c>
      <c r="D28" s="62" t="s">
        <v>239</v>
      </c>
      <c r="E28" s="62" t="s">
        <v>240</v>
      </c>
    </row>
    <row r="29" spans="1:6" ht="14.25" customHeight="1" x14ac:dyDescent="0.25">
      <c r="A29" s="62" t="s">
        <v>253</v>
      </c>
      <c r="B29" s="63">
        <v>30.55</v>
      </c>
      <c r="C29" s="62" t="s">
        <v>254</v>
      </c>
      <c r="D29" s="62" t="s">
        <v>239</v>
      </c>
      <c r="E29" s="62" t="s">
        <v>240</v>
      </c>
    </row>
    <row r="30" spans="1:6" ht="14.25" customHeight="1" x14ac:dyDescent="0.25">
      <c r="A30" s="62" t="s">
        <v>255</v>
      </c>
      <c r="B30" s="63">
        <v>4.25</v>
      </c>
      <c r="C30" s="62" t="s">
        <v>244</v>
      </c>
      <c r="D30" s="62" t="s">
        <v>239</v>
      </c>
      <c r="E30" s="62" t="s">
        <v>240</v>
      </c>
    </row>
    <row r="31" spans="1:6" ht="14.25" customHeight="1" x14ac:dyDescent="0.25">
      <c r="A31" s="62" t="s">
        <v>256</v>
      </c>
      <c r="B31" s="64">
        <v>7.0000000000000007E-2</v>
      </c>
      <c r="C31" s="62" t="s">
        <v>37</v>
      </c>
      <c r="D31" s="62" t="s">
        <v>239</v>
      </c>
      <c r="E31" s="62" t="s">
        <v>240</v>
      </c>
    </row>
    <row r="32" spans="1:6" ht="14.25" customHeight="1" x14ac:dyDescent="0.25">
      <c r="A32" s="62" t="s">
        <v>257</v>
      </c>
      <c r="B32" s="63">
        <v>35</v>
      </c>
      <c r="C32" s="62" t="s">
        <v>247</v>
      </c>
      <c r="D32" s="62" t="s">
        <v>239</v>
      </c>
      <c r="E32" s="62" t="s">
        <v>240</v>
      </c>
    </row>
    <row r="33" spans="1:5" ht="28.5" customHeight="1" x14ac:dyDescent="0.25">
      <c r="A33" s="62" t="s">
        <v>258</v>
      </c>
      <c r="B33" s="64">
        <v>0.215</v>
      </c>
      <c r="C33" s="62" t="s">
        <v>37</v>
      </c>
      <c r="D33" s="62" t="s">
        <v>239</v>
      </c>
      <c r="E33" s="62" t="s">
        <v>240</v>
      </c>
    </row>
    <row r="34" spans="1:5" ht="14.25" customHeight="1" x14ac:dyDescent="0.25">
      <c r="A34" s="62"/>
      <c r="B34" s="63">
        <f>+((((B27*1000000)*B29)/1000000000)+(((B30*1000000)*B32)/1000000000))+(1*B33)</f>
        <v>0.73034999999999994</v>
      </c>
      <c r="C34" s="62"/>
      <c r="D34" s="62"/>
      <c r="E34" s="62"/>
    </row>
    <row r="35" spans="1:5" ht="14.25" customHeight="1" x14ac:dyDescent="0.25">
      <c r="A35" s="62" t="s">
        <v>259</v>
      </c>
      <c r="B35" s="64"/>
      <c r="C35" s="62"/>
      <c r="D35" s="62"/>
      <c r="E35" s="62"/>
    </row>
    <row r="36" spans="1:5" ht="14.25" customHeight="1" x14ac:dyDescent="0.25">
      <c r="A36" s="62" t="s">
        <v>260</v>
      </c>
      <c r="B36" s="63">
        <v>27.5</v>
      </c>
      <c r="C36" s="62" t="s">
        <v>251</v>
      </c>
      <c r="D36" s="62" t="s">
        <v>239</v>
      </c>
      <c r="E36" s="62" t="s">
        <v>240</v>
      </c>
    </row>
    <row r="37" spans="1:5" ht="14.25" customHeight="1" x14ac:dyDescent="0.25">
      <c r="A37" s="62" t="s">
        <v>261</v>
      </c>
      <c r="B37" s="64">
        <v>0.06</v>
      </c>
      <c r="C37" s="62" t="s">
        <v>37</v>
      </c>
      <c r="D37" s="62" t="s">
        <v>239</v>
      </c>
      <c r="E37" s="62" t="s">
        <v>240</v>
      </c>
    </row>
    <row r="38" spans="1:5" ht="14.25" customHeight="1" x14ac:dyDescent="0.25">
      <c r="A38" s="62" t="s">
        <v>262</v>
      </c>
      <c r="B38" s="63">
        <v>4</v>
      </c>
      <c r="C38" s="62" t="s">
        <v>254</v>
      </c>
      <c r="D38" s="62" t="s">
        <v>239</v>
      </c>
      <c r="E38" s="62" t="s">
        <v>240</v>
      </c>
    </row>
    <row r="39" spans="1:5" ht="14.25" customHeight="1" x14ac:dyDescent="0.25">
      <c r="A39" s="62" t="s">
        <v>263</v>
      </c>
      <c r="B39" s="64">
        <v>0.15</v>
      </c>
      <c r="C39" s="62" t="s">
        <v>37</v>
      </c>
      <c r="D39" s="62" t="s">
        <v>239</v>
      </c>
      <c r="E39" s="62" t="s">
        <v>240</v>
      </c>
    </row>
    <row r="40" spans="1:5" ht="14.25" customHeight="1" x14ac:dyDescent="0.25">
      <c r="A40" s="62"/>
      <c r="B40" s="64"/>
      <c r="C40" s="62"/>
      <c r="D40" s="62"/>
      <c r="E40" s="62"/>
    </row>
    <row r="41" spans="1:5" ht="14.25" customHeight="1" x14ac:dyDescent="0.25">
      <c r="A41" s="62" t="s">
        <v>264</v>
      </c>
      <c r="B41" s="64"/>
      <c r="C41" s="62"/>
      <c r="D41" s="62"/>
      <c r="E41" s="62"/>
    </row>
    <row r="42" spans="1:5" ht="14.25" customHeight="1" x14ac:dyDescent="0.25">
      <c r="A42" s="62" t="s">
        <v>265</v>
      </c>
      <c r="B42" s="63">
        <v>1.2</v>
      </c>
      <c r="C42" s="62" t="s">
        <v>266</v>
      </c>
      <c r="D42" s="62" t="s">
        <v>239</v>
      </c>
      <c r="E42" s="62" t="s">
        <v>240</v>
      </c>
    </row>
    <row r="43" spans="1:5" ht="14.25" customHeight="1" x14ac:dyDescent="0.25">
      <c r="A43" s="62" t="s">
        <v>267</v>
      </c>
      <c r="B43" s="64">
        <v>0.06</v>
      </c>
      <c r="C43" s="62" t="s">
        <v>37</v>
      </c>
      <c r="D43" s="62" t="s">
        <v>239</v>
      </c>
      <c r="E43" s="62" t="s">
        <v>240</v>
      </c>
    </row>
    <row r="44" spans="1:5" ht="14.25" customHeight="1" x14ac:dyDescent="0.25">
      <c r="A44" s="62" t="s">
        <v>268</v>
      </c>
      <c r="B44" s="63">
        <v>60</v>
      </c>
      <c r="C44" s="62" t="s">
        <v>269</v>
      </c>
      <c r="D44" s="62" t="s">
        <v>239</v>
      </c>
      <c r="E44" s="62" t="s">
        <v>240</v>
      </c>
    </row>
    <row r="45" spans="1:5" ht="14.25" customHeight="1" x14ac:dyDescent="0.25">
      <c r="A45" s="62" t="s">
        <v>270</v>
      </c>
      <c r="B45" s="64">
        <v>0.3</v>
      </c>
      <c r="C45" s="62" t="s">
        <v>37</v>
      </c>
      <c r="D45" s="62" t="s">
        <v>239</v>
      </c>
      <c r="E45" s="62" t="s">
        <v>240</v>
      </c>
    </row>
    <row r="46" spans="1:5" ht="14.25" customHeight="1" x14ac:dyDescent="0.25">
      <c r="A46" s="62"/>
      <c r="B46" s="64"/>
      <c r="C46" s="62"/>
      <c r="D46" s="62"/>
      <c r="E46" s="62"/>
    </row>
    <row r="47" spans="1:5" ht="14.25" customHeight="1" x14ac:dyDescent="0.25">
      <c r="A47" s="62" t="s">
        <v>271</v>
      </c>
      <c r="B47" s="64"/>
      <c r="C47" s="62"/>
      <c r="D47" s="62"/>
      <c r="E47" s="62"/>
    </row>
    <row r="48" spans="1:5" ht="14.25" customHeight="1" x14ac:dyDescent="0.25">
      <c r="A48" s="62" t="s">
        <v>111</v>
      </c>
      <c r="B48" s="64">
        <v>0.42499999999999999</v>
      </c>
      <c r="C48" s="62" t="s">
        <v>37</v>
      </c>
      <c r="D48" s="62" t="s">
        <v>239</v>
      </c>
      <c r="E48" s="62" t="s">
        <v>240</v>
      </c>
    </row>
    <row r="49" spans="1:5" ht="14.25" customHeight="1" x14ac:dyDescent="0.25">
      <c r="A49" s="62" t="s">
        <v>113</v>
      </c>
      <c r="B49" s="64">
        <v>0.47499999999999998</v>
      </c>
      <c r="C49" s="62" t="s">
        <v>37</v>
      </c>
      <c r="D49" s="62" t="s">
        <v>239</v>
      </c>
      <c r="E49" s="62" t="s">
        <v>240</v>
      </c>
    </row>
    <row r="50" spans="1:5" ht="14.25" customHeight="1" x14ac:dyDescent="0.25">
      <c r="A50" s="62" t="s">
        <v>115</v>
      </c>
      <c r="B50" s="64">
        <v>0.57499999999999996</v>
      </c>
      <c r="C50" s="62" t="s">
        <v>37</v>
      </c>
      <c r="D50" s="62" t="s">
        <v>239</v>
      </c>
      <c r="E50" s="62" t="s">
        <v>240</v>
      </c>
    </row>
    <row r="51" spans="1:5" ht="14.25" customHeight="1" x14ac:dyDescent="0.25">
      <c r="A51" s="62" t="s">
        <v>272</v>
      </c>
      <c r="B51" s="64">
        <v>0.5</v>
      </c>
      <c r="C51" s="62" t="s">
        <v>37</v>
      </c>
      <c r="D51" s="62" t="s">
        <v>239</v>
      </c>
      <c r="E51" s="62" t="s">
        <v>240</v>
      </c>
    </row>
    <row r="52" spans="1:5" ht="14.25" customHeight="1" x14ac:dyDescent="0.25">
      <c r="A52" s="62" t="s">
        <v>273</v>
      </c>
      <c r="B52" s="64">
        <v>2.5000000000000001E-2</v>
      </c>
      <c r="C52" s="62" t="s">
        <v>37</v>
      </c>
      <c r="D52" s="62" t="s">
        <v>239</v>
      </c>
      <c r="E52" s="62" t="s">
        <v>240</v>
      </c>
    </row>
    <row r="53" spans="1:5" ht="14.25" customHeight="1" x14ac:dyDescent="0.25">
      <c r="A53" s="62" t="s">
        <v>274</v>
      </c>
      <c r="B53" s="64">
        <v>0.27</v>
      </c>
      <c r="C53" s="62" t="s">
        <v>37</v>
      </c>
      <c r="D53" s="62" t="s">
        <v>239</v>
      </c>
      <c r="E53" s="62" t="s">
        <v>240</v>
      </c>
    </row>
    <row r="54" spans="1:5" ht="14.25" customHeight="1" x14ac:dyDescent="0.25">
      <c r="A54" s="62" t="s">
        <v>275</v>
      </c>
      <c r="B54" s="64">
        <v>2.5000000000000001E-2</v>
      </c>
      <c r="C54" s="62" t="s">
        <v>37</v>
      </c>
      <c r="D54" s="62" t="s">
        <v>239</v>
      </c>
      <c r="E54" s="62" t="s">
        <v>240</v>
      </c>
    </row>
    <row r="55" spans="1:5" ht="14.25" customHeight="1" x14ac:dyDescent="0.25">
      <c r="A55" s="62" t="s">
        <v>276</v>
      </c>
      <c r="B55" s="64">
        <v>0.65</v>
      </c>
      <c r="C55" s="62" t="s">
        <v>37</v>
      </c>
      <c r="D55" s="62" t="s">
        <v>277</v>
      </c>
      <c r="E55" s="62" t="s">
        <v>278</v>
      </c>
    </row>
    <row r="56" spans="1:5" ht="14.25" customHeight="1" x14ac:dyDescent="0.25">
      <c r="A56" s="62" t="s">
        <v>279</v>
      </c>
      <c r="B56" s="64">
        <v>5.5E-2</v>
      </c>
      <c r="C56" s="62" t="s">
        <v>37</v>
      </c>
      <c r="D56" s="62" t="s">
        <v>239</v>
      </c>
      <c r="E56" s="62" t="s">
        <v>240</v>
      </c>
    </row>
    <row r="57" spans="1:5" ht="14.25" customHeight="1" x14ac:dyDescent="0.25">
      <c r="A57" s="62" t="s">
        <v>280</v>
      </c>
      <c r="B57" s="63">
        <v>25</v>
      </c>
      <c r="C57" s="62" t="s">
        <v>224</v>
      </c>
      <c r="D57" s="62" t="s">
        <v>277</v>
      </c>
      <c r="E57" s="62" t="s">
        <v>281</v>
      </c>
    </row>
    <row r="58" spans="1:5" ht="14.25" customHeight="1" x14ac:dyDescent="0.25">
      <c r="A58" s="62" t="s">
        <v>282</v>
      </c>
      <c r="B58" s="63">
        <v>7</v>
      </c>
      <c r="C58" s="62" t="s">
        <v>224</v>
      </c>
      <c r="D58" s="62" t="s">
        <v>277</v>
      </c>
      <c r="E58" s="62" t="s">
        <v>283</v>
      </c>
    </row>
    <row r="59" spans="1:5" ht="14.25" customHeight="1" x14ac:dyDescent="0.25">
      <c r="A59" s="62" t="s">
        <v>284</v>
      </c>
      <c r="B59" s="64">
        <v>8.5000000000000006E-2</v>
      </c>
      <c r="C59" s="62" t="s">
        <v>37</v>
      </c>
      <c r="D59" s="62" t="s">
        <v>239</v>
      </c>
      <c r="E59" s="62" t="s">
        <v>240</v>
      </c>
    </row>
    <row r="60" spans="1:5" ht="14.25" customHeight="1" x14ac:dyDescent="0.25">
      <c r="A60" s="62" t="s">
        <v>285</v>
      </c>
      <c r="B60" s="63">
        <v>16</v>
      </c>
      <c r="C60" s="62" t="s">
        <v>28</v>
      </c>
      <c r="D60" s="62" t="s">
        <v>239</v>
      </c>
      <c r="E60" s="62" t="s">
        <v>240</v>
      </c>
    </row>
    <row r="61" spans="1:5" ht="14.25" customHeight="1" x14ac:dyDescent="0.25">
      <c r="A61" s="62" t="s">
        <v>286</v>
      </c>
      <c r="B61" s="64">
        <v>0.15</v>
      </c>
      <c r="C61" s="62" t="s">
        <v>37</v>
      </c>
      <c r="D61" s="62" t="s">
        <v>277</v>
      </c>
      <c r="E61" s="62" t="s">
        <v>287</v>
      </c>
    </row>
    <row r="62" spans="1:5" ht="14.25" customHeight="1" x14ac:dyDescent="0.25">
      <c r="A62" s="62" t="s">
        <v>288</v>
      </c>
      <c r="B62" s="63">
        <v>1</v>
      </c>
      <c r="C62" s="62" t="s">
        <v>289</v>
      </c>
      <c r="D62" s="62" t="s">
        <v>290</v>
      </c>
      <c r="E62" s="62" t="s">
        <v>291</v>
      </c>
    </row>
    <row r="63" spans="1:5" ht="14.25" customHeight="1" x14ac:dyDescent="0.25">
      <c r="A63" s="62" t="s">
        <v>292</v>
      </c>
      <c r="B63" s="63">
        <v>0</v>
      </c>
      <c r="C63" s="62" t="s">
        <v>293</v>
      </c>
      <c r="D63" s="62" t="s">
        <v>294</v>
      </c>
      <c r="E63" s="62" t="s">
        <v>295</v>
      </c>
    </row>
    <row r="65" spans="1:5" ht="14.25" customHeight="1" x14ac:dyDescent="0.25">
      <c r="A65" s="55" t="s">
        <v>165</v>
      </c>
    </row>
    <row r="67" spans="1:5" ht="14.25" customHeight="1" x14ac:dyDescent="0.25">
      <c r="A67" s="66" t="s">
        <v>296</v>
      </c>
      <c r="B67" s="66"/>
      <c r="C67" s="66"/>
      <c r="D67" s="66" t="s">
        <v>297</v>
      </c>
      <c r="E67" s="66" t="s">
        <v>298</v>
      </c>
    </row>
    <row r="68" spans="1:5" ht="14.25" customHeight="1" x14ac:dyDescent="0.25">
      <c r="A68" s="19" t="s">
        <v>299</v>
      </c>
      <c r="B68" s="67">
        <v>1.3</v>
      </c>
      <c r="C68" s="19" t="s">
        <v>28</v>
      </c>
      <c r="D68" s="19" t="s">
        <v>277</v>
      </c>
      <c r="E68" s="19" t="s">
        <v>300</v>
      </c>
    </row>
    <row r="69" spans="1:5" ht="14.25" customHeight="1" x14ac:dyDescent="0.25">
      <c r="A69" s="19" t="s">
        <v>301</v>
      </c>
      <c r="B69" s="67">
        <v>1.2</v>
      </c>
      <c r="C69" s="19" t="s">
        <v>28</v>
      </c>
      <c r="D69" s="19" t="s">
        <v>277</v>
      </c>
      <c r="E69" s="19" t="s">
        <v>302</v>
      </c>
    </row>
    <row r="70" spans="1:5" ht="14.25" customHeight="1" x14ac:dyDescent="0.25">
      <c r="A70" s="19" t="s">
        <v>303</v>
      </c>
      <c r="B70" s="19" t="s">
        <v>304</v>
      </c>
      <c r="C70" s="19" t="s">
        <v>305</v>
      </c>
      <c r="D70" s="19" t="s">
        <v>191</v>
      </c>
      <c r="E70" s="19" t="s">
        <v>306</v>
      </c>
    </row>
    <row r="71" spans="1:5" ht="14.25" customHeight="1" x14ac:dyDescent="0.25">
      <c r="A71" s="19" t="s">
        <v>307</v>
      </c>
      <c r="B71" s="67">
        <v>5.0000000000000001E-3</v>
      </c>
      <c r="C71" s="19" t="s">
        <v>37</v>
      </c>
      <c r="D71" s="19" t="s">
        <v>277</v>
      </c>
      <c r="E71" s="19" t="s">
        <v>308</v>
      </c>
    </row>
    <row r="72" spans="1:5" ht="14.25" customHeight="1" x14ac:dyDescent="0.25">
      <c r="A72" s="19" t="s">
        <v>309</v>
      </c>
      <c r="B72" s="67">
        <v>0.02</v>
      </c>
      <c r="C72" s="19" t="s">
        <v>37</v>
      </c>
      <c r="D72" s="19" t="s">
        <v>277</v>
      </c>
      <c r="E72" s="19" t="s">
        <v>310</v>
      </c>
    </row>
    <row r="73" spans="1:5" ht="14.25" customHeight="1" x14ac:dyDescent="0.25">
      <c r="A73" s="19" t="s">
        <v>311</v>
      </c>
      <c r="B73" s="67">
        <v>0.01</v>
      </c>
      <c r="C73" s="19" t="s">
        <v>37</v>
      </c>
      <c r="D73" s="19" t="s">
        <v>277</v>
      </c>
      <c r="E73" s="19" t="s">
        <v>312</v>
      </c>
    </row>
    <row r="74" spans="1:5" ht="14.25" customHeight="1" x14ac:dyDescent="0.25">
      <c r="A74" s="19" t="s">
        <v>313</v>
      </c>
      <c r="B74" s="67">
        <v>6</v>
      </c>
      <c r="C74" s="19" t="s">
        <v>314</v>
      </c>
      <c r="D74" s="19" t="s">
        <v>277</v>
      </c>
      <c r="E74" s="19" t="s">
        <v>315</v>
      </c>
    </row>
    <row r="75" spans="1:5" ht="14.25" customHeight="1" x14ac:dyDescent="0.25">
      <c r="A75" s="19" t="s">
        <v>316</v>
      </c>
      <c r="B75" s="67">
        <v>8</v>
      </c>
      <c r="C75" s="19" t="s">
        <v>317</v>
      </c>
      <c r="D75" s="19" t="s">
        <v>2</v>
      </c>
      <c r="E75" s="19" t="s">
        <v>318</v>
      </c>
    </row>
    <row r="76" spans="1:5" ht="14.25" customHeight="1" x14ac:dyDescent="0.25">
      <c r="A76" s="19" t="s">
        <v>319</v>
      </c>
      <c r="B76" s="67">
        <v>1</v>
      </c>
      <c r="C76" s="19" t="s">
        <v>289</v>
      </c>
      <c r="D76" s="19" t="s">
        <v>290</v>
      </c>
      <c r="E76" s="19" t="s">
        <v>320</v>
      </c>
    </row>
    <row r="77" spans="1:5" ht="27.75" customHeight="1" x14ac:dyDescent="0.25">
      <c r="A77" s="19" t="s">
        <v>321</v>
      </c>
      <c r="B77" s="19" t="s">
        <v>322</v>
      </c>
      <c r="C77" s="19" t="s">
        <v>305</v>
      </c>
      <c r="D77" s="19" t="s">
        <v>277</v>
      </c>
      <c r="E77" s="18" t="s">
        <v>323</v>
      </c>
    </row>
    <row r="78" spans="1:5" ht="14.25" customHeight="1" x14ac:dyDescent="0.25">
      <c r="A78" s="19" t="s">
        <v>280</v>
      </c>
      <c r="B78" s="67">
        <v>25</v>
      </c>
      <c r="C78" s="19" t="s">
        <v>224</v>
      </c>
      <c r="D78" s="19" t="s">
        <v>277</v>
      </c>
      <c r="E78" s="19" t="s">
        <v>324</v>
      </c>
    </row>
    <row r="79" spans="1:5" ht="14.25" customHeight="1" x14ac:dyDescent="0.25">
      <c r="A79" s="19" t="s">
        <v>325</v>
      </c>
      <c r="B79" s="19">
        <v>0</v>
      </c>
      <c r="C79" s="19" t="s">
        <v>289</v>
      </c>
      <c r="D79" s="19" t="s">
        <v>290</v>
      </c>
      <c r="E79" s="19" t="s">
        <v>326</v>
      </c>
    </row>
    <row r="80" spans="1:5" ht="27.75" customHeight="1" x14ac:dyDescent="0.25">
      <c r="A80" s="19" t="s">
        <v>327</v>
      </c>
      <c r="B80" s="18" t="s">
        <v>328</v>
      </c>
      <c r="C80" s="19" t="s">
        <v>305</v>
      </c>
      <c r="D80" s="19" t="s">
        <v>277</v>
      </c>
      <c r="E80" s="19" t="s">
        <v>329</v>
      </c>
    </row>
  </sheetData>
  <mergeCells count="2">
    <mergeCell ref="A1:E1"/>
    <mergeCell ref="A2:E2"/>
  </mergeCells>
  <pageMargins left="0.25" right="0.25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2"/>
  <sheetViews>
    <sheetView showGridLines="0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4.25" customHeight="1" x14ac:dyDescent="0.25"/>
  <cols>
    <col min="1" max="1" width="22.140625" customWidth="1"/>
    <col min="2" max="5" width="10.7109375" customWidth="1"/>
    <col min="6" max="7" width="13.28515625" customWidth="1"/>
    <col min="8" max="8" width="33" customWidth="1"/>
  </cols>
  <sheetData>
    <row r="1" spans="1:8" ht="21" customHeight="1" x14ac:dyDescent="0.35">
      <c r="A1" s="6" t="s">
        <v>330</v>
      </c>
      <c r="B1" s="6"/>
      <c r="C1" s="6"/>
      <c r="D1" s="6"/>
      <c r="E1" s="6"/>
      <c r="F1" s="6"/>
      <c r="G1" s="6"/>
      <c r="H1" s="6"/>
    </row>
    <row r="2" spans="1:8" ht="18" customHeight="1" x14ac:dyDescent="0.25">
      <c r="A2" s="5" t="s">
        <v>331</v>
      </c>
      <c r="B2" s="5"/>
      <c r="C2" s="5"/>
      <c r="D2" s="5"/>
      <c r="E2" s="5"/>
      <c r="F2" s="5"/>
      <c r="G2" s="5"/>
      <c r="H2" s="5"/>
    </row>
    <row r="4" spans="1:8" ht="27.75" customHeight="1" x14ac:dyDescent="0.25">
      <c r="A4" s="61" t="s">
        <v>332</v>
      </c>
      <c r="B4" s="61" t="s">
        <v>333</v>
      </c>
      <c r="C4" s="61" t="s">
        <v>334</v>
      </c>
      <c r="D4" s="61" t="s">
        <v>271</v>
      </c>
      <c r="E4" s="61" t="s">
        <v>335</v>
      </c>
      <c r="F4" s="61" t="s">
        <v>336</v>
      </c>
      <c r="G4" s="61" t="s">
        <v>337</v>
      </c>
      <c r="H4" s="61" t="s">
        <v>118</v>
      </c>
    </row>
    <row r="5" spans="1:8" ht="14.25" customHeight="1" x14ac:dyDescent="0.25">
      <c r="A5" s="19" t="s">
        <v>338</v>
      </c>
      <c r="B5" s="21">
        <v>0.8</v>
      </c>
      <c r="C5" s="21">
        <v>0.9</v>
      </c>
      <c r="D5" s="21">
        <v>1.1000000000000001</v>
      </c>
      <c r="E5" s="21">
        <v>1.1000000000000001</v>
      </c>
      <c r="F5" s="19">
        <v>11</v>
      </c>
      <c r="G5" s="19">
        <v>0</v>
      </c>
      <c r="H5" s="19" t="s">
        <v>339</v>
      </c>
    </row>
    <row r="6" spans="1:8" ht="42.75" customHeight="1" x14ac:dyDescent="0.25">
      <c r="A6" s="19" t="s">
        <v>340</v>
      </c>
      <c r="B6" s="21">
        <v>1</v>
      </c>
      <c r="C6" s="21">
        <v>1</v>
      </c>
      <c r="D6" s="21">
        <v>1</v>
      </c>
      <c r="E6" s="21">
        <v>1</v>
      </c>
      <c r="F6" s="19">
        <v>16</v>
      </c>
      <c r="G6" s="19">
        <v>0</v>
      </c>
      <c r="H6" s="18" t="s">
        <v>341</v>
      </c>
    </row>
    <row r="7" spans="1:8" ht="14.25" customHeight="1" x14ac:dyDescent="0.25">
      <c r="A7" s="19" t="s">
        <v>342</v>
      </c>
      <c r="B7" s="21">
        <v>1.2</v>
      </c>
      <c r="C7" s="21">
        <v>1.05</v>
      </c>
      <c r="D7" s="21">
        <v>0.95</v>
      </c>
      <c r="E7" s="21">
        <v>0.95</v>
      </c>
      <c r="F7" s="19">
        <v>18</v>
      </c>
      <c r="G7" s="19">
        <v>0</v>
      </c>
      <c r="H7" s="19" t="s">
        <v>343</v>
      </c>
    </row>
    <row r="10" spans="1:8" ht="14.25" customHeight="1" x14ac:dyDescent="0.25">
      <c r="A10" s="56" t="s">
        <v>344</v>
      </c>
      <c r="B10" s="68" t="s">
        <v>340</v>
      </c>
    </row>
    <row r="12" spans="1:8" ht="14.25" customHeight="1" x14ac:dyDescent="0.25">
      <c r="A12" s="55" t="s">
        <v>165</v>
      </c>
    </row>
  </sheetData>
  <mergeCells count="2">
    <mergeCell ref="A1:H1"/>
    <mergeCell ref="A2:H2"/>
  </mergeCells>
  <dataValidations count="1">
    <dataValidation type="list" sqref="B10" xr:uid="{00000000-0002-0000-0600-000000000000}">
      <formula1>"Downside,Base / Investment Case,Upside"</formula1>
      <formula2>0</formula2>
    </dataValidation>
  </dataValidations>
  <pageMargins left="0.25" right="0.25" top="0.75" bottom="0.75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4.25" customHeight="1" x14ac:dyDescent="0.25"/>
  <cols>
    <col min="1" max="1" width="9" customWidth="1"/>
    <col min="2" max="2" width="14.7109375" customWidth="1"/>
    <col min="3" max="9" width="12.7109375" customWidth="1"/>
  </cols>
  <sheetData>
    <row r="1" spans="1:9" ht="21" customHeight="1" x14ac:dyDescent="0.35">
      <c r="A1" s="6" t="s">
        <v>196</v>
      </c>
      <c r="B1" s="6"/>
      <c r="C1" s="6"/>
      <c r="D1" s="6"/>
      <c r="E1" s="6"/>
      <c r="F1" s="6"/>
      <c r="G1" s="6"/>
      <c r="H1" s="6"/>
      <c r="I1" s="6"/>
    </row>
    <row r="2" spans="1:9" ht="14.25" customHeight="1" x14ac:dyDescent="0.25">
      <c r="A2" s="5" t="s">
        <v>197</v>
      </c>
      <c r="B2" s="5"/>
      <c r="C2" s="5"/>
      <c r="D2" s="5"/>
      <c r="E2" s="5"/>
      <c r="F2" s="5"/>
      <c r="G2" s="5"/>
      <c r="H2" s="5"/>
      <c r="I2" s="5"/>
    </row>
    <row r="4" spans="1:9" ht="30" customHeight="1" x14ac:dyDescent="0.25">
      <c r="A4" s="61" t="s">
        <v>198</v>
      </c>
      <c r="B4" s="61" t="s">
        <v>199</v>
      </c>
      <c r="C4" s="61" t="s">
        <v>172</v>
      </c>
      <c r="D4" s="61" t="s">
        <v>180</v>
      </c>
      <c r="E4" s="61" t="s">
        <v>175</v>
      </c>
      <c r="F4" s="61" t="s">
        <v>176</v>
      </c>
      <c r="G4" s="61" t="s">
        <v>200</v>
      </c>
      <c r="H4" s="61" t="s">
        <v>201</v>
      </c>
      <c r="I4" s="61" t="s">
        <v>202</v>
      </c>
    </row>
    <row r="5" spans="1:9" ht="27.75" customHeight="1" x14ac:dyDescent="0.25">
      <c r="A5" s="19">
        <v>0</v>
      </c>
      <c r="B5" s="17">
        <v>0.125</v>
      </c>
      <c r="C5" s="17">
        <v>0</v>
      </c>
      <c r="D5" s="17">
        <v>0</v>
      </c>
      <c r="E5" s="17">
        <v>0</v>
      </c>
      <c r="F5" s="17">
        <v>0</v>
      </c>
      <c r="G5" s="59">
        <f t="shared" ref="G5:G25" si="0">SUM(B5:F5)</f>
        <v>0.125</v>
      </c>
      <c r="H5" s="59">
        <f>G5</f>
        <v>0.125</v>
      </c>
      <c r="I5" s="18" t="s">
        <v>203</v>
      </c>
    </row>
    <row r="6" spans="1:9" ht="27.75" customHeight="1" x14ac:dyDescent="0.25">
      <c r="A6" s="19">
        <v>1</v>
      </c>
      <c r="B6" s="17">
        <v>0</v>
      </c>
      <c r="C6" s="17">
        <v>0.65</v>
      </c>
      <c r="D6" s="17">
        <v>1.28571428571429</v>
      </c>
      <c r="E6" s="17">
        <v>0.4</v>
      </c>
      <c r="F6" s="17">
        <v>0.14285714285714299</v>
      </c>
      <c r="G6" s="59">
        <f t="shared" si="0"/>
        <v>2.4785714285714326</v>
      </c>
      <c r="H6" s="59">
        <f t="shared" ref="H6:H25" si="1">H5+G6</f>
        <v>2.6035714285714326</v>
      </c>
      <c r="I6" s="18" t="s">
        <v>204</v>
      </c>
    </row>
    <row r="7" spans="1:9" ht="27.75" customHeight="1" x14ac:dyDescent="0.25">
      <c r="A7" s="19">
        <v>2</v>
      </c>
      <c r="B7" s="17">
        <v>0</v>
      </c>
      <c r="C7" s="17">
        <v>0.65</v>
      </c>
      <c r="D7" s="17">
        <v>1.28571428571429</v>
      </c>
      <c r="E7" s="17">
        <v>0.4</v>
      </c>
      <c r="F7" s="17">
        <v>0.14285714285714299</v>
      </c>
      <c r="G7" s="59">
        <f t="shared" si="0"/>
        <v>2.4785714285714326</v>
      </c>
      <c r="H7" s="59">
        <f t="shared" si="1"/>
        <v>5.0821428571428653</v>
      </c>
      <c r="I7" s="18" t="s">
        <v>204</v>
      </c>
    </row>
    <row r="8" spans="1:9" ht="27.75" customHeight="1" x14ac:dyDescent="0.25">
      <c r="A8" s="19">
        <v>3</v>
      </c>
      <c r="B8" s="17">
        <v>0</v>
      </c>
      <c r="C8" s="17">
        <v>0.65</v>
      </c>
      <c r="D8" s="17">
        <v>1.28571428571429</v>
      </c>
      <c r="E8" s="17">
        <v>0.4</v>
      </c>
      <c r="F8" s="17">
        <v>0.14285714285714299</v>
      </c>
      <c r="G8" s="59">
        <f t="shared" si="0"/>
        <v>2.4785714285714326</v>
      </c>
      <c r="H8" s="59">
        <f t="shared" si="1"/>
        <v>7.5607142857142975</v>
      </c>
      <c r="I8" s="18" t="s">
        <v>204</v>
      </c>
    </row>
    <row r="9" spans="1:9" ht="27.75" customHeight="1" x14ac:dyDescent="0.25">
      <c r="A9" s="19">
        <v>4</v>
      </c>
      <c r="B9" s="17">
        <v>0</v>
      </c>
      <c r="C9" s="17">
        <v>0.65</v>
      </c>
      <c r="D9" s="17">
        <v>1.28571428571429</v>
      </c>
      <c r="E9" s="17">
        <v>0.4</v>
      </c>
      <c r="F9" s="17">
        <v>0.14285714285714299</v>
      </c>
      <c r="G9" s="59">
        <f t="shared" si="0"/>
        <v>2.4785714285714326</v>
      </c>
      <c r="H9" s="59">
        <f t="shared" si="1"/>
        <v>10.039285714285731</v>
      </c>
      <c r="I9" s="18" t="s">
        <v>204</v>
      </c>
    </row>
    <row r="10" spans="1:9" ht="27.75" customHeight="1" x14ac:dyDescent="0.25">
      <c r="A10" s="19">
        <v>5</v>
      </c>
      <c r="B10" s="17">
        <v>0</v>
      </c>
      <c r="C10" s="17">
        <v>0.65</v>
      </c>
      <c r="D10" s="17">
        <v>1.28571428571429</v>
      </c>
      <c r="E10" s="17">
        <v>0.4</v>
      </c>
      <c r="F10" s="17">
        <v>0.14285714285714299</v>
      </c>
      <c r="G10" s="59">
        <f t="shared" si="0"/>
        <v>2.4785714285714326</v>
      </c>
      <c r="H10" s="59">
        <f t="shared" si="1"/>
        <v>12.517857142857164</v>
      </c>
      <c r="I10" s="18" t="s">
        <v>204</v>
      </c>
    </row>
    <row r="11" spans="1:9" ht="27.75" customHeight="1" x14ac:dyDescent="0.25">
      <c r="A11" s="19">
        <v>6</v>
      </c>
      <c r="B11" s="17">
        <v>0</v>
      </c>
      <c r="C11" s="17">
        <v>0.65</v>
      </c>
      <c r="D11" s="17">
        <v>1.28571428571429</v>
      </c>
      <c r="E11" s="17">
        <v>0</v>
      </c>
      <c r="F11" s="17">
        <v>0.14285714285714299</v>
      </c>
      <c r="G11" s="59">
        <f t="shared" si="0"/>
        <v>2.0785714285714327</v>
      </c>
      <c r="H11" s="59">
        <f t="shared" si="1"/>
        <v>14.596428571428596</v>
      </c>
      <c r="I11" s="18" t="s">
        <v>205</v>
      </c>
    </row>
    <row r="12" spans="1:9" ht="27.75" customHeight="1" x14ac:dyDescent="0.25">
      <c r="A12" s="19">
        <v>7</v>
      </c>
      <c r="B12" s="17">
        <v>0</v>
      </c>
      <c r="C12" s="17">
        <v>0.65</v>
      </c>
      <c r="D12" s="17">
        <v>1.28571428571429</v>
      </c>
      <c r="E12" s="17">
        <v>0</v>
      </c>
      <c r="F12" s="17">
        <v>0.14285714285714299</v>
      </c>
      <c r="G12" s="59">
        <f t="shared" si="0"/>
        <v>2.0785714285714327</v>
      </c>
      <c r="H12" s="59">
        <f t="shared" si="1"/>
        <v>16.675000000000029</v>
      </c>
      <c r="I12" s="18" t="s">
        <v>205</v>
      </c>
    </row>
    <row r="13" spans="1:9" ht="27.75" customHeight="1" x14ac:dyDescent="0.25">
      <c r="A13" s="19">
        <v>8</v>
      </c>
      <c r="B13" s="17">
        <v>0</v>
      </c>
      <c r="C13" s="17">
        <v>0.65</v>
      </c>
      <c r="D13" s="17">
        <v>0</v>
      </c>
      <c r="E13" s="17">
        <v>0</v>
      </c>
      <c r="F13" s="17">
        <v>0</v>
      </c>
      <c r="G13" s="59">
        <f t="shared" si="0"/>
        <v>0.65</v>
      </c>
      <c r="H13" s="59">
        <f t="shared" si="1"/>
        <v>17.325000000000028</v>
      </c>
      <c r="I13" s="18" t="s">
        <v>206</v>
      </c>
    </row>
    <row r="14" spans="1:9" ht="27.75" customHeight="1" x14ac:dyDescent="0.25">
      <c r="A14" s="19">
        <v>9</v>
      </c>
      <c r="B14" s="17">
        <v>0</v>
      </c>
      <c r="C14" s="17">
        <v>0.65</v>
      </c>
      <c r="D14" s="17">
        <v>0</v>
      </c>
      <c r="E14" s="17">
        <v>0</v>
      </c>
      <c r="F14" s="17">
        <v>0</v>
      </c>
      <c r="G14" s="59">
        <f t="shared" si="0"/>
        <v>0.65</v>
      </c>
      <c r="H14" s="59">
        <f t="shared" si="1"/>
        <v>17.975000000000026</v>
      </c>
      <c r="I14" s="18" t="s">
        <v>206</v>
      </c>
    </row>
    <row r="15" spans="1:9" ht="27.75" customHeight="1" x14ac:dyDescent="0.25">
      <c r="A15" s="19">
        <v>10</v>
      </c>
      <c r="B15" s="17">
        <v>0</v>
      </c>
      <c r="C15" s="17">
        <v>0.65</v>
      </c>
      <c r="D15" s="17">
        <v>0</v>
      </c>
      <c r="E15" s="17">
        <v>0</v>
      </c>
      <c r="F15" s="17">
        <v>0</v>
      </c>
      <c r="G15" s="59">
        <f t="shared" si="0"/>
        <v>0.65</v>
      </c>
      <c r="H15" s="59">
        <f t="shared" si="1"/>
        <v>18.625000000000025</v>
      </c>
      <c r="I15" s="18" t="s">
        <v>206</v>
      </c>
    </row>
    <row r="16" spans="1:9" ht="27.75" customHeight="1" x14ac:dyDescent="0.25">
      <c r="A16" s="19">
        <v>11</v>
      </c>
      <c r="B16" s="17">
        <v>0</v>
      </c>
      <c r="C16" s="17">
        <v>0.65</v>
      </c>
      <c r="D16" s="17">
        <v>0</v>
      </c>
      <c r="E16" s="17">
        <v>0</v>
      </c>
      <c r="F16" s="17">
        <v>0</v>
      </c>
      <c r="G16" s="59">
        <f t="shared" si="0"/>
        <v>0.65</v>
      </c>
      <c r="H16" s="59">
        <f t="shared" si="1"/>
        <v>19.275000000000023</v>
      </c>
      <c r="I16" s="18" t="s">
        <v>206</v>
      </c>
    </row>
    <row r="17" spans="1:9" ht="14.25" customHeight="1" x14ac:dyDescent="0.25">
      <c r="A17" s="19">
        <v>12</v>
      </c>
      <c r="B17" s="17">
        <v>0</v>
      </c>
      <c r="C17" s="17">
        <v>0.65</v>
      </c>
      <c r="D17" s="17">
        <v>0</v>
      </c>
      <c r="E17" s="17">
        <v>0</v>
      </c>
      <c r="F17" s="17">
        <v>0</v>
      </c>
      <c r="G17" s="59">
        <f t="shared" si="0"/>
        <v>0.65</v>
      </c>
      <c r="H17" s="59">
        <f t="shared" si="1"/>
        <v>19.925000000000022</v>
      </c>
      <c r="I17" s="19" t="s">
        <v>206</v>
      </c>
    </row>
    <row r="18" spans="1:9" ht="27.75" customHeight="1" x14ac:dyDescent="0.25">
      <c r="A18" s="19">
        <v>13</v>
      </c>
      <c r="B18" s="17">
        <v>0</v>
      </c>
      <c r="C18" s="17">
        <v>0.65</v>
      </c>
      <c r="D18" s="17">
        <v>0</v>
      </c>
      <c r="E18" s="17">
        <v>0</v>
      </c>
      <c r="F18" s="17">
        <v>0</v>
      </c>
      <c r="G18" s="59">
        <f t="shared" si="0"/>
        <v>0.65</v>
      </c>
      <c r="H18" s="59">
        <f t="shared" si="1"/>
        <v>20.575000000000021</v>
      </c>
      <c r="I18" s="18" t="s">
        <v>206</v>
      </c>
    </row>
    <row r="19" spans="1:9" ht="27.75" customHeight="1" x14ac:dyDescent="0.25">
      <c r="A19" s="19">
        <v>14</v>
      </c>
      <c r="B19" s="17">
        <v>0</v>
      </c>
      <c r="C19" s="17">
        <v>0.65</v>
      </c>
      <c r="D19" s="17">
        <v>0</v>
      </c>
      <c r="E19" s="17">
        <v>0</v>
      </c>
      <c r="F19" s="17">
        <v>0</v>
      </c>
      <c r="G19" s="59">
        <f t="shared" si="0"/>
        <v>0.65</v>
      </c>
      <c r="H19" s="59">
        <f t="shared" si="1"/>
        <v>21.225000000000019</v>
      </c>
      <c r="I19" s="18" t="s">
        <v>206</v>
      </c>
    </row>
    <row r="20" spans="1:9" ht="27.75" customHeight="1" x14ac:dyDescent="0.25">
      <c r="A20" s="19">
        <v>15</v>
      </c>
      <c r="B20" s="17">
        <v>0</v>
      </c>
      <c r="C20" s="17">
        <v>0.65</v>
      </c>
      <c r="D20" s="17">
        <v>0</v>
      </c>
      <c r="E20" s="17">
        <v>0</v>
      </c>
      <c r="F20" s="17">
        <v>0</v>
      </c>
      <c r="G20" s="59">
        <f t="shared" si="0"/>
        <v>0.65</v>
      </c>
      <c r="H20" s="59">
        <f t="shared" si="1"/>
        <v>21.875000000000018</v>
      </c>
      <c r="I20" s="18" t="s">
        <v>206</v>
      </c>
    </row>
    <row r="21" spans="1:9" ht="27.75" customHeight="1" x14ac:dyDescent="0.25">
      <c r="A21" s="19">
        <v>16</v>
      </c>
      <c r="B21" s="17">
        <v>0</v>
      </c>
      <c r="C21" s="17">
        <v>0.65</v>
      </c>
      <c r="D21" s="17">
        <v>0</v>
      </c>
      <c r="E21" s="17">
        <v>0</v>
      </c>
      <c r="F21" s="17">
        <v>0</v>
      </c>
      <c r="G21" s="59">
        <f t="shared" si="0"/>
        <v>0.65</v>
      </c>
      <c r="H21" s="59">
        <f t="shared" si="1"/>
        <v>22.525000000000016</v>
      </c>
      <c r="I21" s="18" t="s">
        <v>206</v>
      </c>
    </row>
    <row r="22" spans="1:9" ht="27.75" customHeight="1" x14ac:dyDescent="0.25">
      <c r="A22" s="19">
        <v>17</v>
      </c>
      <c r="B22" s="17">
        <v>0</v>
      </c>
      <c r="C22" s="17">
        <v>0.65</v>
      </c>
      <c r="D22" s="17">
        <v>0</v>
      </c>
      <c r="E22" s="17">
        <v>0</v>
      </c>
      <c r="F22" s="17">
        <v>0</v>
      </c>
      <c r="G22" s="59">
        <f t="shared" si="0"/>
        <v>0.65</v>
      </c>
      <c r="H22" s="59">
        <f t="shared" si="1"/>
        <v>23.175000000000015</v>
      </c>
      <c r="I22" s="18" t="s">
        <v>206</v>
      </c>
    </row>
    <row r="23" spans="1:9" ht="27.75" customHeight="1" x14ac:dyDescent="0.25">
      <c r="A23" s="19">
        <v>18</v>
      </c>
      <c r="B23" s="17">
        <v>0</v>
      </c>
      <c r="C23" s="17">
        <v>0.65</v>
      </c>
      <c r="D23" s="17">
        <v>0</v>
      </c>
      <c r="E23" s="17">
        <v>0</v>
      </c>
      <c r="F23" s="17">
        <v>0</v>
      </c>
      <c r="G23" s="59">
        <f t="shared" si="0"/>
        <v>0.65</v>
      </c>
      <c r="H23" s="59">
        <f t="shared" si="1"/>
        <v>23.825000000000014</v>
      </c>
      <c r="I23" s="18" t="s">
        <v>206</v>
      </c>
    </row>
    <row r="24" spans="1:9" ht="27.75" customHeight="1" x14ac:dyDescent="0.25">
      <c r="A24" s="19">
        <v>19</v>
      </c>
      <c r="B24" s="17">
        <v>0</v>
      </c>
      <c r="C24" s="17">
        <v>0.65</v>
      </c>
      <c r="D24" s="17">
        <v>0</v>
      </c>
      <c r="E24" s="17">
        <v>0</v>
      </c>
      <c r="F24" s="17">
        <v>0</v>
      </c>
      <c r="G24" s="59">
        <f t="shared" si="0"/>
        <v>0.65</v>
      </c>
      <c r="H24" s="59">
        <f t="shared" si="1"/>
        <v>24.475000000000012</v>
      </c>
      <c r="I24" s="18" t="s">
        <v>206</v>
      </c>
    </row>
    <row r="25" spans="1:9" ht="27.75" customHeight="1" x14ac:dyDescent="0.25">
      <c r="A25" s="19">
        <v>20</v>
      </c>
      <c r="B25" s="17">
        <v>0</v>
      </c>
      <c r="C25" s="17">
        <v>0.65</v>
      </c>
      <c r="D25" s="17">
        <v>0</v>
      </c>
      <c r="E25" s="17">
        <v>0</v>
      </c>
      <c r="F25" s="17">
        <v>0</v>
      </c>
      <c r="G25" s="59">
        <f t="shared" si="0"/>
        <v>0.65</v>
      </c>
      <c r="H25" s="59">
        <f t="shared" si="1"/>
        <v>25.125000000000011</v>
      </c>
      <c r="I25" s="18" t="s">
        <v>206</v>
      </c>
    </row>
    <row r="26" spans="1:9" ht="14.25" customHeight="1" x14ac:dyDescent="0.25">
      <c r="A26" s="19" t="s">
        <v>207</v>
      </c>
      <c r="B26" s="17">
        <f t="shared" ref="B26:G26" si="2">SUM(B5:B25)</f>
        <v>0.125</v>
      </c>
      <c r="C26" s="17">
        <f t="shared" si="2"/>
        <v>13.000000000000004</v>
      </c>
      <c r="D26" s="17">
        <f t="shared" si="2"/>
        <v>9.0000000000000302</v>
      </c>
      <c r="E26" s="17">
        <f t="shared" si="2"/>
        <v>2</v>
      </c>
      <c r="F26" s="17">
        <f t="shared" si="2"/>
        <v>1.0000000000000009</v>
      </c>
      <c r="G26" s="59">
        <f t="shared" si="2"/>
        <v>25.125000000000011</v>
      </c>
      <c r="H26" s="59"/>
      <c r="I26" s="19"/>
    </row>
    <row r="28" spans="1:9" ht="14.25" customHeight="1" x14ac:dyDescent="0.25">
      <c r="A28" s="55" t="s">
        <v>165</v>
      </c>
    </row>
  </sheetData>
  <mergeCells count="2">
    <mergeCell ref="A1:I1"/>
    <mergeCell ref="A2:I2"/>
  </mergeCells>
  <pageMargins left="0.25" right="0.25" top="0.75" bottom="0.75" header="0.511811023622047" footer="0.511811023622047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4.25" customHeight="1" x14ac:dyDescent="0.25"/>
  <cols>
    <col min="1" max="1" width="10.42578125" customWidth="1"/>
    <col min="2" max="12" width="10.7109375" customWidth="1"/>
    <col min="13" max="13" width="9" customWidth="1"/>
  </cols>
  <sheetData>
    <row r="1" spans="1:13" ht="21" customHeight="1" x14ac:dyDescent="0.35">
      <c r="A1" s="6" t="s">
        <v>345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4.25" customHeight="1" x14ac:dyDescent="0.25">
      <c r="A2" s="3" t="s">
        <v>346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4.25" customHeight="1" x14ac:dyDescent="0.25">
      <c r="B3" s="69">
        <f>+Inputs!B19</f>
        <v>0.09</v>
      </c>
      <c r="G3" s="70">
        <f>+Inputs!B48</f>
        <v>0.42499999999999999</v>
      </c>
    </row>
    <row r="4" spans="1:13" ht="32.25" customHeight="1" x14ac:dyDescent="0.25">
      <c r="A4" s="61" t="s">
        <v>198</v>
      </c>
      <c r="B4" s="61" t="s">
        <v>347</v>
      </c>
      <c r="C4" s="61" t="s">
        <v>348</v>
      </c>
      <c r="D4" s="61" t="s">
        <v>349</v>
      </c>
      <c r="E4" s="61" t="s">
        <v>350</v>
      </c>
      <c r="F4" s="61" t="s">
        <v>351</v>
      </c>
      <c r="G4" s="61" t="s">
        <v>352</v>
      </c>
      <c r="H4" s="61" t="s">
        <v>353</v>
      </c>
      <c r="I4" s="61" t="s">
        <v>354</v>
      </c>
      <c r="J4" s="61" t="s">
        <v>355</v>
      </c>
      <c r="K4" s="61" t="s">
        <v>356</v>
      </c>
      <c r="L4" s="61" t="s">
        <v>357</v>
      </c>
      <c r="M4" s="61" t="s">
        <v>358</v>
      </c>
    </row>
    <row r="5" spans="1:13" ht="14.25" customHeight="1" x14ac:dyDescent="0.25">
      <c r="A5" s="19">
        <v>0</v>
      </c>
      <c r="B5" s="17">
        <v>0</v>
      </c>
      <c r="C5" s="17">
        <v>0</v>
      </c>
      <c r="D5" s="17">
        <v>0</v>
      </c>
      <c r="E5" s="17">
        <v>0</v>
      </c>
      <c r="F5" s="71">
        <v>0</v>
      </c>
      <c r="G5" s="17">
        <v>0</v>
      </c>
      <c r="H5" s="17">
        <v>0</v>
      </c>
      <c r="I5" s="17">
        <v>0</v>
      </c>
      <c r="J5" s="17">
        <v>0</v>
      </c>
      <c r="K5" s="71">
        <v>0</v>
      </c>
      <c r="L5" s="17">
        <v>0</v>
      </c>
      <c r="M5" s="69" t="str">
        <f t="shared" ref="M5:M25" si="0">IF(F5&gt;0,L5/F5,"")</f>
        <v/>
      </c>
    </row>
    <row r="6" spans="1:13" ht="14.25" customHeight="1" x14ac:dyDescent="0.25">
      <c r="A6" s="19">
        <v>1</v>
      </c>
      <c r="B6" s="17">
        <f>((Inputs!$B$18*(1+Inputs!$B$19)^(1-1)*Inputs!$B$20)+(Inputs!$B$21*(1+Inputs!$B$22)^(1-1)*Inputs!$B$23))/1000*(1+Inputs!$B$24)</f>
        <v>1.0385</v>
      </c>
      <c r="C6" s="17">
        <f>((Inputs!$B$27*(1+Inputs!$B$28)^(1-1)*Inputs!$B$29)+(Inputs!$B$30*(1+Inputs!$B$31)^(1-1)*Inputs!$B$32))/1000*(1+Inputs!$B$33)</f>
        <v>0.62615025000000002</v>
      </c>
      <c r="D6" s="17">
        <f>Inputs!$B$36*(1+Inputs!$B$37)^(1-1)*Inputs!$B$38/1000*(1+Inputs!$B$39)</f>
        <v>0.1265</v>
      </c>
      <c r="E6" s="17">
        <f>Inputs!$B$42*(1+Inputs!$B$43)^(1-1)*Inputs!$B$44/1000*(1+Inputs!$B$45)</f>
        <v>9.3600000000000003E-2</v>
      </c>
      <c r="F6" s="71">
        <f t="shared" ref="F6:F25" si="1">SUM(B6:E6)</f>
        <v>1.88475025</v>
      </c>
      <c r="G6" s="17">
        <f>B6*Inputs!$B$48</f>
        <v>0.44136249999999999</v>
      </c>
      <c r="H6" s="17">
        <f>C6*Inputs!$B$49</f>
        <v>0.29742136874999997</v>
      </c>
      <c r="I6" s="17">
        <f>D6*Inputs!$B$50</f>
        <v>7.2737499999999997E-2</v>
      </c>
      <c r="J6" s="17">
        <f>E6*Inputs!$B$51</f>
        <v>4.6800000000000001E-2</v>
      </c>
      <c r="K6" s="71">
        <f t="shared" ref="K6:K25" si="2">SUM(G6:J6)</f>
        <v>0.85832136874999987</v>
      </c>
      <c r="L6" s="17">
        <f t="shared" ref="L6:L25" si="3">F6-K6</f>
        <v>1.0264288812500002</v>
      </c>
      <c r="M6" s="69">
        <f t="shared" si="0"/>
        <v>0.54459676089710041</v>
      </c>
    </row>
    <row r="7" spans="1:13" ht="14.25" customHeight="1" x14ac:dyDescent="0.25">
      <c r="A7" s="19">
        <v>2</v>
      </c>
      <c r="B7" s="17">
        <f>((Inputs!$B$18*(1+Inputs!$B$19)^(2-1)*Inputs!$B$20)+(Inputs!$B$21*(1+Inputs!$B$22)^(2-1)*Inputs!$B$23))/1000*(1+Inputs!$B$24)</f>
        <v>1.1297330624999999</v>
      </c>
      <c r="C7" s="17">
        <f>((Inputs!$B$27*(1+Inputs!$B$28)^(2-1)*Inputs!$B$29)+(Inputs!$B$30*(1+Inputs!$B$31)^(2-1)*Inputs!$B$32))/1000*(1+Inputs!$B$33)</f>
        <v>0.66998076750000013</v>
      </c>
      <c r="D7" s="17">
        <f>Inputs!$B$36*(1+Inputs!$B$37)^(2-1)*Inputs!$B$38/1000*(1+Inputs!$B$39)</f>
        <v>0.13408999999999999</v>
      </c>
      <c r="E7" s="17">
        <f>Inputs!$B$42*(1+Inputs!$B$43)^(2-1)*Inputs!$B$44/1000*(1+Inputs!$B$45)</f>
        <v>9.9216000000000026E-2</v>
      </c>
      <c r="F7" s="71">
        <f t="shared" si="1"/>
        <v>2.0330198300000002</v>
      </c>
      <c r="G7" s="17">
        <f>B7*Inputs!$B$48</f>
        <v>0.48013655156249996</v>
      </c>
      <c r="H7" s="17">
        <f>C7*Inputs!$B$49</f>
        <v>0.31824086456250006</v>
      </c>
      <c r="I7" s="17">
        <f>D7*Inputs!$B$50</f>
        <v>7.7101749999999983E-2</v>
      </c>
      <c r="J7" s="17">
        <f>E7*Inputs!$B$51</f>
        <v>4.9608000000000013E-2</v>
      </c>
      <c r="K7" s="71">
        <f t="shared" si="2"/>
        <v>0.92508716612499997</v>
      </c>
      <c r="L7" s="17">
        <f t="shared" si="3"/>
        <v>1.1079326638750002</v>
      </c>
      <c r="M7" s="69">
        <f t="shared" si="0"/>
        <v>0.54496894104323623</v>
      </c>
    </row>
    <row r="8" spans="1:13" ht="14.25" customHeight="1" x14ac:dyDescent="0.25">
      <c r="A8" s="19">
        <v>3</v>
      </c>
      <c r="B8" s="17">
        <f>((Inputs!$B$18*(1+Inputs!$B$19)^(3-1)*Inputs!$B$20)+(Inputs!$B$21*(1+Inputs!$B$22)^(3-1)*Inputs!$B$23))/1000*(1+Inputs!$B$24)</f>
        <v>1.2289985456250001</v>
      </c>
      <c r="C8" s="17">
        <f>((Inputs!$B$27*(1+Inputs!$B$28)^(3-1)*Inputs!$B$29)+(Inputs!$B$30*(1+Inputs!$B$31)^(3-1)*Inputs!$B$32))/1000*(1+Inputs!$B$33)</f>
        <v>0.71687942122500004</v>
      </c>
      <c r="D8" s="17">
        <f>Inputs!$B$36*(1+Inputs!$B$37)^(3-1)*Inputs!$B$38/1000*(1+Inputs!$B$39)</f>
        <v>0.1421354</v>
      </c>
      <c r="E8" s="17">
        <f>Inputs!$B$42*(1+Inputs!$B$43)^(3-1)*Inputs!$B$44/1000*(1+Inputs!$B$45)</f>
        <v>0.10516896000000001</v>
      </c>
      <c r="F8" s="71">
        <f t="shared" si="1"/>
        <v>2.1931823268500001</v>
      </c>
      <c r="G8" s="17">
        <f>B8*Inputs!$B$48</f>
        <v>0.52232438189062502</v>
      </c>
      <c r="H8" s="17">
        <f>C8*Inputs!$B$49</f>
        <v>0.340517725081875</v>
      </c>
      <c r="I8" s="17">
        <f>D8*Inputs!$B$50</f>
        <v>8.1727854999999988E-2</v>
      </c>
      <c r="J8" s="17">
        <f>E8*Inputs!$B$51</f>
        <v>5.2584480000000003E-2</v>
      </c>
      <c r="K8" s="71">
        <f t="shared" si="2"/>
        <v>0.99715444197250014</v>
      </c>
      <c r="L8" s="17">
        <f t="shared" si="3"/>
        <v>1.1960278848775001</v>
      </c>
      <c r="M8" s="69">
        <f t="shared" si="0"/>
        <v>0.54533901273740337</v>
      </c>
    </row>
    <row r="9" spans="1:13" ht="14.25" customHeight="1" x14ac:dyDescent="0.25">
      <c r="A9" s="19">
        <v>4</v>
      </c>
      <c r="B9" s="17">
        <f>((Inputs!$B$18*(1+Inputs!$B$19)^(4-1)*Inputs!$B$20)+(Inputs!$B$21*(1+Inputs!$B$22)^(4-1)*Inputs!$B$23))/1000*(1+Inputs!$B$24)</f>
        <v>1.3370050828312503</v>
      </c>
      <c r="C9" s="17">
        <f>((Inputs!$B$27*(1+Inputs!$B$28)^(4-1)*Inputs!$B$29)+(Inputs!$B$30*(1+Inputs!$B$31)^(4-1)*Inputs!$B$32))/1000*(1+Inputs!$B$33)</f>
        <v>0.76706098071075013</v>
      </c>
      <c r="D9" s="17">
        <f>Inputs!$B$36*(1+Inputs!$B$37)^(4-1)*Inputs!$B$38/1000*(1+Inputs!$B$39)</f>
        <v>0.15066352400000002</v>
      </c>
      <c r="E9" s="17">
        <f>Inputs!$B$42*(1+Inputs!$B$43)^(4-1)*Inputs!$B$44/1000*(1+Inputs!$B$45)</f>
        <v>0.11147909760000003</v>
      </c>
      <c r="F9" s="71">
        <f t="shared" si="1"/>
        <v>2.3662086851420008</v>
      </c>
      <c r="G9" s="17">
        <f>B9*Inputs!$B$48</f>
        <v>0.56822716020328135</v>
      </c>
      <c r="H9" s="17">
        <f>C9*Inputs!$B$49</f>
        <v>0.36435396583760632</v>
      </c>
      <c r="I9" s="17">
        <f>D9*Inputs!$B$50</f>
        <v>8.6631526300000011E-2</v>
      </c>
      <c r="J9" s="17">
        <f>E9*Inputs!$B$51</f>
        <v>5.5739548800000017E-2</v>
      </c>
      <c r="K9" s="71">
        <f t="shared" si="2"/>
        <v>1.0749522011408876</v>
      </c>
      <c r="L9" s="17">
        <f t="shared" si="3"/>
        <v>1.2912564840011131</v>
      </c>
      <c r="M9" s="69">
        <f t="shared" si="0"/>
        <v>0.54570693282854821</v>
      </c>
    </row>
    <row r="10" spans="1:13" ht="14.25" customHeight="1" x14ac:dyDescent="0.25">
      <c r="A10" s="19">
        <v>5</v>
      </c>
      <c r="B10" s="17">
        <f>((Inputs!$B$18*(1+Inputs!$B$19)^(5-1)*Inputs!$B$20)+(Inputs!$B$21*(1+Inputs!$B$22)^(5-1)*Inputs!$B$23))/1000*(1+Inputs!$B$24)</f>
        <v>1.4545239418340628</v>
      </c>
      <c r="C10" s="17">
        <f>((Inputs!$B$27*(1+Inputs!$B$28)^(5-1)*Inputs!$B$29)+(Inputs!$B$30*(1+Inputs!$B$31)^(5-1)*Inputs!$B$32))/1000*(1+Inputs!$B$33)</f>
        <v>0.8207552493605027</v>
      </c>
      <c r="D10" s="17">
        <f>Inputs!$B$36*(1+Inputs!$B$37)^(5-1)*Inputs!$B$38/1000*(1+Inputs!$B$39)</f>
        <v>0.15970333544000001</v>
      </c>
      <c r="E10" s="17">
        <f>Inputs!$B$42*(1+Inputs!$B$43)^(5-1)*Inputs!$B$44/1000*(1+Inputs!$B$45)</f>
        <v>0.11816784345600002</v>
      </c>
      <c r="F10" s="71">
        <f t="shared" si="1"/>
        <v>2.5531503700905653</v>
      </c>
      <c r="G10" s="17">
        <f>B10*Inputs!$B$48</f>
        <v>0.61817267527947661</v>
      </c>
      <c r="H10" s="17">
        <f>C10*Inputs!$B$49</f>
        <v>0.38985874344623878</v>
      </c>
      <c r="I10" s="17">
        <f>D10*Inputs!$B$50</f>
        <v>9.1829417878000003E-2</v>
      </c>
      <c r="J10" s="17">
        <f>E10*Inputs!$B$51</f>
        <v>5.9083921728000012E-2</v>
      </c>
      <c r="K10" s="71">
        <f t="shared" si="2"/>
        <v>1.1589447583317152</v>
      </c>
      <c r="L10" s="17">
        <f t="shared" si="3"/>
        <v>1.3942056117588502</v>
      </c>
      <c r="M10" s="69">
        <f t="shared" si="0"/>
        <v>0.54607265913186109</v>
      </c>
    </row>
    <row r="11" spans="1:13" ht="14.25" customHeight="1" x14ac:dyDescent="0.25">
      <c r="A11" s="19">
        <v>6</v>
      </c>
      <c r="B11" s="17">
        <f>((Inputs!$B$18*(1+Inputs!$B$19)^(6-1)*Inputs!$B$20)+(Inputs!$B$21*(1+Inputs!$B$22)^(6-1)*Inputs!$B$23))/1000*(1+Inputs!$B$24)</f>
        <v>1.5823945702709685</v>
      </c>
      <c r="C11" s="17">
        <f>((Inputs!$B$27*(1+Inputs!$B$28)^(6-1)*Inputs!$B$29)+(Inputs!$B$30*(1+Inputs!$B$31)^(6-1)*Inputs!$B$32))/1000*(1+Inputs!$B$33)</f>
        <v>0.87820811681573785</v>
      </c>
      <c r="D11" s="17">
        <f>Inputs!$B$36*(1+Inputs!$B$37)^(6-1)*Inputs!$B$38/1000*(1+Inputs!$B$39)</f>
        <v>0.16928553556640002</v>
      </c>
      <c r="E11" s="17">
        <f>Inputs!$B$42*(1+Inputs!$B$43)^(6-1)*Inputs!$B$44/1000*(1+Inputs!$B$45)</f>
        <v>0.12525791406336007</v>
      </c>
      <c r="F11" s="71">
        <f t="shared" si="1"/>
        <v>2.7551461367164665</v>
      </c>
      <c r="G11" s="17">
        <f>B11*Inputs!$B$48</f>
        <v>0.67251769236516157</v>
      </c>
      <c r="H11" s="17">
        <f>C11*Inputs!$B$49</f>
        <v>0.41714885548747543</v>
      </c>
      <c r="I11" s="17">
        <f>D11*Inputs!$B$50</f>
        <v>9.7339182950680003E-2</v>
      </c>
      <c r="J11" s="17">
        <f>E11*Inputs!$B$51</f>
        <v>6.2628957031680033E-2</v>
      </c>
      <c r="K11" s="71">
        <f t="shared" si="2"/>
        <v>1.2496346878349971</v>
      </c>
      <c r="L11" s="17">
        <f t="shared" si="3"/>
        <v>1.5055114488814694</v>
      </c>
      <c r="M11" s="69">
        <f t="shared" si="0"/>
        <v>0.54643615045251681</v>
      </c>
    </row>
    <row r="12" spans="1:13" ht="14.25" customHeight="1" x14ac:dyDescent="0.25">
      <c r="A12" s="19">
        <v>7</v>
      </c>
      <c r="B12" s="17">
        <f>((Inputs!$B$18*(1+Inputs!$B$19)^(7-1)*Inputs!$B$20)+(Inputs!$B$21*(1+Inputs!$B$22)^(7-1)*Inputs!$B$23))/1000*(1+Inputs!$B$24)</f>
        <v>1.721530633160943</v>
      </c>
      <c r="C12" s="17">
        <f>((Inputs!$B$27*(1+Inputs!$B$28)^(7-1)*Inputs!$B$29)+(Inputs!$B$30*(1+Inputs!$B$31)^(7-1)*Inputs!$B$32))/1000*(1+Inputs!$B$33)</f>
        <v>0.93968268499283936</v>
      </c>
      <c r="D12" s="17">
        <f>Inputs!$B$36*(1+Inputs!$B$37)^(7-1)*Inputs!$B$38/1000*(1+Inputs!$B$39)</f>
        <v>0.17944266770038406</v>
      </c>
      <c r="E12" s="17">
        <f>Inputs!$B$42*(1+Inputs!$B$43)^(7-1)*Inputs!$B$44/1000*(1+Inputs!$B$45)</f>
        <v>0.13277338890716164</v>
      </c>
      <c r="F12" s="71">
        <f t="shared" si="1"/>
        <v>2.9734293747613285</v>
      </c>
      <c r="G12" s="17">
        <f>B12*Inputs!$B$48</f>
        <v>0.73165051909340073</v>
      </c>
      <c r="H12" s="17">
        <f>C12*Inputs!$B$49</f>
        <v>0.44634927537159869</v>
      </c>
      <c r="I12" s="17">
        <f>D12*Inputs!$B$50</f>
        <v>0.10317953392772082</v>
      </c>
      <c r="J12" s="17">
        <f>E12*Inputs!$B$51</f>
        <v>6.6386694453580822E-2</v>
      </c>
      <c r="K12" s="71">
        <f t="shared" si="2"/>
        <v>1.3475660228463011</v>
      </c>
      <c r="L12" s="17">
        <f t="shared" si="3"/>
        <v>1.6258633519150274</v>
      </c>
      <c r="M12" s="69">
        <f t="shared" si="0"/>
        <v>0.54679736660822231</v>
      </c>
    </row>
    <row r="13" spans="1:13" ht="14.25" customHeight="1" x14ac:dyDescent="0.25">
      <c r="A13" s="19">
        <v>8</v>
      </c>
      <c r="B13" s="17">
        <f>((Inputs!$B$18*(1+Inputs!$B$19)^(8-1)*Inputs!$B$20)+(Inputs!$B$21*(1+Inputs!$B$22)^(8-1)*Inputs!$B$23))/1000*(1+Inputs!$B$24)</f>
        <v>1.872926585836262</v>
      </c>
      <c r="C13" s="17">
        <f>((Inputs!$B$27*(1+Inputs!$B$28)^(8-1)*Inputs!$B$29)+(Inputs!$B$30*(1+Inputs!$B$31)^(8-1)*Inputs!$B$32))/1000*(1+Inputs!$B$33)</f>
        <v>1.0054604729423382</v>
      </c>
      <c r="D13" s="17">
        <f>Inputs!$B$36*(1+Inputs!$B$37)^(8-1)*Inputs!$B$38/1000*(1+Inputs!$B$39)</f>
        <v>0.19020922776240712</v>
      </c>
      <c r="E13" s="17">
        <f>Inputs!$B$42*(1+Inputs!$B$43)^(8-1)*Inputs!$B$44/1000*(1+Inputs!$B$45)</f>
        <v>0.14073979224159136</v>
      </c>
      <c r="F13" s="71">
        <f t="shared" si="1"/>
        <v>3.2093360787825986</v>
      </c>
      <c r="G13" s="17">
        <f>B13*Inputs!$B$48</f>
        <v>0.79599379898041134</v>
      </c>
      <c r="H13" s="17">
        <f>C13*Inputs!$B$49</f>
        <v>0.47759372464761063</v>
      </c>
      <c r="I13" s="17">
        <f>D13*Inputs!$B$50</f>
        <v>0.10937030596338408</v>
      </c>
      <c r="J13" s="17">
        <f>E13*Inputs!$B$51</f>
        <v>7.036989612079568E-2</v>
      </c>
      <c r="K13" s="71">
        <f t="shared" si="2"/>
        <v>1.4533277257122017</v>
      </c>
      <c r="L13" s="17">
        <f t="shared" si="3"/>
        <v>1.7560083530703969</v>
      </c>
      <c r="M13" s="69">
        <f t="shared" si="0"/>
        <v>0.54715626845054688</v>
      </c>
    </row>
    <row r="14" spans="1:13" ht="14.25" customHeight="1" x14ac:dyDescent="0.25">
      <c r="A14" s="19">
        <v>9</v>
      </c>
      <c r="B14" s="17">
        <f>((Inputs!$B$18*(1+Inputs!$B$19)^(9-1)*Inputs!$B$20)+(Inputs!$B$21*(1+Inputs!$B$22)^(9-1)*Inputs!$B$23))/1000*(1+Inputs!$B$24)</f>
        <v>2.037664829907627</v>
      </c>
      <c r="C14" s="17">
        <f>((Inputs!$B$27*(1+Inputs!$B$28)^(9-1)*Inputs!$B$29)+(Inputs!$B$30*(1+Inputs!$B$31)^(9-1)*Inputs!$B$32))/1000*(1+Inputs!$B$33)</f>
        <v>1.0758427060483018</v>
      </c>
      <c r="D14" s="17">
        <f>Inputs!$B$36*(1+Inputs!$B$37)^(9-1)*Inputs!$B$38/1000*(1+Inputs!$B$39)</f>
        <v>0.20162178142815154</v>
      </c>
      <c r="E14" s="17">
        <f>Inputs!$B$42*(1+Inputs!$B$43)^(9-1)*Inputs!$B$44/1000*(1+Inputs!$B$45)</f>
        <v>0.14918417977608683</v>
      </c>
      <c r="F14" s="71">
        <f t="shared" si="1"/>
        <v>3.464313497160167</v>
      </c>
      <c r="G14" s="17">
        <f>B14*Inputs!$B$48</f>
        <v>0.86600755271074148</v>
      </c>
      <c r="H14" s="17">
        <f>C14*Inputs!$B$49</f>
        <v>0.51102528537294334</v>
      </c>
      <c r="I14" s="17">
        <f>D14*Inputs!$B$50</f>
        <v>0.11593252432118713</v>
      </c>
      <c r="J14" s="17">
        <f>E14*Inputs!$B$51</f>
        <v>7.4592089888043417E-2</v>
      </c>
      <c r="K14" s="71">
        <f t="shared" si="2"/>
        <v>1.5675574522929154</v>
      </c>
      <c r="L14" s="17">
        <f t="shared" si="3"/>
        <v>1.8967560448672516</v>
      </c>
      <c r="M14" s="69">
        <f t="shared" si="0"/>
        <v>0.54751281788501427</v>
      </c>
    </row>
    <row r="15" spans="1:13" ht="14.25" customHeight="1" x14ac:dyDescent="0.25">
      <c r="A15" s="19">
        <v>10</v>
      </c>
      <c r="B15" s="17">
        <f>((Inputs!$B$18*(1+Inputs!$B$19)^(10-1)*Inputs!$B$20)+(Inputs!$B$21*(1+Inputs!$B$22)^(10-1)*Inputs!$B$23))/1000*(1+Inputs!$B$24)</f>
        <v>2.2169235040531023</v>
      </c>
      <c r="C15" s="17">
        <f>((Inputs!$B$27*(1+Inputs!$B$28)^(10-1)*Inputs!$B$29)+(Inputs!$B$30*(1+Inputs!$B$31)^(10-1)*Inputs!$B$32))/1000*(1+Inputs!$B$33)</f>
        <v>1.1511516954716832</v>
      </c>
      <c r="D15" s="17">
        <f>Inputs!$B$36*(1+Inputs!$B$37)^(10-1)*Inputs!$B$38/1000*(1+Inputs!$B$39)</f>
        <v>0.21371908831384065</v>
      </c>
      <c r="E15" s="17">
        <f>Inputs!$B$42*(1+Inputs!$B$43)^(10-1)*Inputs!$B$44/1000*(1+Inputs!$B$45)</f>
        <v>0.15813523056265202</v>
      </c>
      <c r="F15" s="71">
        <f t="shared" si="1"/>
        <v>3.739929518401278</v>
      </c>
      <c r="G15" s="17">
        <f>B15*Inputs!$B$48</f>
        <v>0.94219248922256849</v>
      </c>
      <c r="H15" s="17">
        <f>C15*Inputs!$B$49</f>
        <v>0.54679705534904943</v>
      </c>
      <c r="I15" s="17">
        <f>D15*Inputs!$B$50</f>
        <v>0.12288847578045836</v>
      </c>
      <c r="J15" s="17">
        <f>E15*Inputs!$B$51</f>
        <v>7.9067615281326012E-2</v>
      </c>
      <c r="K15" s="71">
        <f t="shared" si="2"/>
        <v>1.6909456356334025</v>
      </c>
      <c r="L15" s="17">
        <f t="shared" si="3"/>
        <v>2.0489838827678755</v>
      </c>
      <c r="M15" s="69">
        <f t="shared" si="0"/>
        <v>0.54786697788993699</v>
      </c>
    </row>
    <row r="16" spans="1:13" ht="14.25" customHeight="1" x14ac:dyDescent="0.25">
      <c r="A16" s="19">
        <v>11</v>
      </c>
      <c r="B16" s="17">
        <f>((Inputs!$B$18*(1+Inputs!$B$19)^(11-1)*Inputs!$B$20)+(Inputs!$B$21*(1+Inputs!$B$22)^(11-1)*Inputs!$B$23))/1000*(1+Inputs!$B$24)</f>
        <v>2.411984966027974</v>
      </c>
      <c r="C16" s="17">
        <f>((Inputs!$B$27*(1+Inputs!$B$28)^(11-1)*Inputs!$B$29)+(Inputs!$B$30*(1+Inputs!$B$31)^(11-1)*Inputs!$B$32))/1000*(1+Inputs!$B$33)</f>
        <v>1.231732314154701</v>
      </c>
      <c r="D16" s="17">
        <f>Inputs!$B$36*(1+Inputs!$B$37)^(11-1)*Inputs!$B$38/1000*(1+Inputs!$B$39)</f>
        <v>0.22654223361267109</v>
      </c>
      <c r="E16" s="17">
        <f>Inputs!$B$42*(1+Inputs!$B$43)^(11-1)*Inputs!$B$44/1000*(1+Inputs!$B$45)</f>
        <v>0.16762334439641119</v>
      </c>
      <c r="F16" s="71">
        <f t="shared" si="1"/>
        <v>4.0378828581917574</v>
      </c>
      <c r="G16" s="17">
        <f>B16*Inputs!$B$48</f>
        <v>1.0250936105618889</v>
      </c>
      <c r="H16" s="17">
        <f>C16*Inputs!$B$49</f>
        <v>0.5850728492234829</v>
      </c>
      <c r="I16" s="17">
        <f>D16*Inputs!$B$50</f>
        <v>0.13026178432728586</v>
      </c>
      <c r="J16" s="17">
        <f>E16*Inputs!$B$51</f>
        <v>8.3811672198205595E-2</v>
      </c>
      <c r="K16" s="71">
        <f t="shared" si="2"/>
        <v>1.8242399163108634</v>
      </c>
      <c r="L16" s="17">
        <f t="shared" si="3"/>
        <v>2.2136429418808943</v>
      </c>
      <c r="M16" s="69">
        <f t="shared" si="0"/>
        <v>0.54821871253397547</v>
      </c>
    </row>
    <row r="17" spans="1:13" ht="14.25" customHeight="1" x14ac:dyDescent="0.25">
      <c r="A17" s="19">
        <v>12</v>
      </c>
      <c r="B17" s="17">
        <f>((Inputs!$B$18*(1+Inputs!$B$19)^(12-1)*Inputs!$B$20)+(Inputs!$B$21*(1+Inputs!$B$22)^(12-1)*Inputs!$B$23))/1000*(1+Inputs!$B$24)</f>
        <v>2.6242450273093905</v>
      </c>
      <c r="C17" s="17">
        <f>((Inputs!$B$27*(1+Inputs!$B$28)^(12-1)*Inputs!$B$29)+(Inputs!$B$30*(1+Inputs!$B$31)^(12-1)*Inputs!$B$32))/1000*(1+Inputs!$B$33)</f>
        <v>1.3179535761455305</v>
      </c>
      <c r="D17" s="17">
        <f>Inputs!$B$36*(1+Inputs!$B$37)^(12-1)*Inputs!$B$38/1000*(1+Inputs!$B$39)</f>
        <v>0.24013476762943139</v>
      </c>
      <c r="E17" s="17">
        <f>Inputs!$B$42*(1+Inputs!$B$43)^(12-1)*Inputs!$B$44/1000*(1+Inputs!$B$45)</f>
        <v>0.1776807450601959</v>
      </c>
      <c r="F17" s="71">
        <f t="shared" si="1"/>
        <v>4.3600141161445487</v>
      </c>
      <c r="G17" s="17">
        <f>B17*Inputs!$B$48</f>
        <v>1.1153041366064909</v>
      </c>
      <c r="H17" s="17">
        <f>C17*Inputs!$B$49</f>
        <v>0.62602794866912703</v>
      </c>
      <c r="I17" s="17">
        <f>D17*Inputs!$B$50</f>
        <v>0.13807749138692305</v>
      </c>
      <c r="J17" s="17">
        <f>E17*Inputs!$B$51</f>
        <v>8.8840372530097952E-2</v>
      </c>
      <c r="K17" s="71">
        <f t="shared" si="2"/>
        <v>1.9682499491926391</v>
      </c>
      <c r="L17" s="17">
        <f t="shared" si="3"/>
        <v>2.3917641669519094</v>
      </c>
      <c r="M17" s="69">
        <f t="shared" si="0"/>
        <v>0.54856798699241061</v>
      </c>
    </row>
    <row r="18" spans="1:13" ht="14.25" customHeight="1" x14ac:dyDescent="0.25">
      <c r="A18" s="19">
        <v>13</v>
      </c>
      <c r="B18" s="17">
        <f>((Inputs!$B$18*(1+Inputs!$B$19)^(13-1)*Inputs!$B$20)+(Inputs!$B$21*(1+Inputs!$B$22)^(13-1)*Inputs!$B$23))/1000*(1+Inputs!$B$24)</f>
        <v>2.855223007253247</v>
      </c>
      <c r="C18" s="17">
        <f>((Inputs!$B$27*(1+Inputs!$B$28)^(13-1)*Inputs!$B$29)+(Inputs!$B$30*(1+Inputs!$B$31)^(13-1)*Inputs!$B$32))/1000*(1+Inputs!$B$33)</f>
        <v>1.4102103264757171</v>
      </c>
      <c r="D18" s="17">
        <f>Inputs!$B$36*(1+Inputs!$B$37)^(13-1)*Inputs!$B$38/1000*(1+Inputs!$B$39)</f>
        <v>0.25454285368719731</v>
      </c>
      <c r="E18" s="17">
        <f>Inputs!$B$42*(1+Inputs!$B$43)^(13-1)*Inputs!$B$44/1000*(1+Inputs!$B$45)</f>
        <v>0.18834158976380766</v>
      </c>
      <c r="F18" s="71">
        <f t="shared" si="1"/>
        <v>4.7083177771799694</v>
      </c>
      <c r="G18" s="17">
        <f>B18*Inputs!$B$48</f>
        <v>1.21346977808263</v>
      </c>
      <c r="H18" s="17">
        <f>C18*Inputs!$B$49</f>
        <v>0.66984990507596553</v>
      </c>
      <c r="I18" s="17">
        <f>D18*Inputs!$B$50</f>
        <v>0.14636214087013844</v>
      </c>
      <c r="J18" s="17">
        <f>E18*Inputs!$B$51</f>
        <v>9.417079488190383E-2</v>
      </c>
      <c r="K18" s="71">
        <f t="shared" si="2"/>
        <v>2.1238526189106381</v>
      </c>
      <c r="L18" s="17">
        <f t="shared" si="3"/>
        <v>2.5844651582693312</v>
      </c>
      <c r="M18" s="69">
        <f t="shared" si="0"/>
        <v>0.5489147675621181</v>
      </c>
    </row>
    <row r="19" spans="1:13" ht="14.25" customHeight="1" x14ac:dyDescent="0.25">
      <c r="A19" s="19">
        <v>14</v>
      </c>
      <c r="B19" s="17">
        <f>((Inputs!$B$18*(1+Inputs!$B$19)^(14-1)*Inputs!$B$20)+(Inputs!$B$21*(1+Inputs!$B$22)^(14-1)*Inputs!$B$23))/1000*(1+Inputs!$B$24)</f>
        <v>3.1065726795909328</v>
      </c>
      <c r="C19" s="17">
        <f>((Inputs!$B$27*(1+Inputs!$B$28)^(14-1)*Inputs!$B$29)+(Inputs!$B$30*(1+Inputs!$B$31)^(14-1)*Inputs!$B$32))/1000*(1+Inputs!$B$33)</f>
        <v>1.5089250493290176</v>
      </c>
      <c r="D19" s="17">
        <f>Inputs!$B$36*(1+Inputs!$B$37)^(14-1)*Inputs!$B$38/1000*(1+Inputs!$B$39)</f>
        <v>0.26981542490842914</v>
      </c>
      <c r="E19" s="17">
        <f>Inputs!$B$42*(1+Inputs!$B$43)^(14-1)*Inputs!$B$44/1000*(1+Inputs!$B$45)</f>
        <v>0.19964208514963613</v>
      </c>
      <c r="F19" s="71">
        <f t="shared" si="1"/>
        <v>5.0849552389780159</v>
      </c>
      <c r="G19" s="17">
        <f>B19*Inputs!$B$48</f>
        <v>1.3202933888261463</v>
      </c>
      <c r="H19" s="17">
        <f>C19*Inputs!$B$49</f>
        <v>0.71673939843128331</v>
      </c>
      <c r="I19" s="17">
        <f>D19*Inputs!$B$50</f>
        <v>0.15514386932234675</v>
      </c>
      <c r="J19" s="17">
        <f>E19*Inputs!$B$51</f>
        <v>9.9821042574818067E-2</v>
      </c>
      <c r="K19" s="71">
        <f t="shared" si="2"/>
        <v>2.2919976991545949</v>
      </c>
      <c r="L19" s="17">
        <f t="shared" si="3"/>
        <v>2.792957539823421</v>
      </c>
      <c r="M19" s="69">
        <f t="shared" si="0"/>
        <v>0.54925902167523399</v>
      </c>
    </row>
    <row r="20" spans="1:13" ht="14.25" customHeight="1" x14ac:dyDescent="0.25">
      <c r="A20" s="19">
        <v>15</v>
      </c>
      <c r="B20" s="17">
        <f>((Inputs!$B$18*(1+Inputs!$B$19)^(15-1)*Inputs!$B$20)+(Inputs!$B$21*(1+Inputs!$B$22)^(15-1)*Inputs!$B$23))/1000*(1+Inputs!$B$24)</f>
        <v>3.3800941905738005</v>
      </c>
      <c r="C20" s="17">
        <f>((Inputs!$B$27*(1+Inputs!$B$28)^(15-1)*Inputs!$B$29)+(Inputs!$B$30*(1+Inputs!$B$31)^(15-1)*Inputs!$B$32))/1000*(1+Inputs!$B$33)</f>
        <v>1.6145498027820486</v>
      </c>
      <c r="D20" s="17">
        <f>Inputs!$B$36*(1+Inputs!$B$37)^(15-1)*Inputs!$B$38/1000*(1+Inputs!$B$39)</f>
        <v>0.28600435040293487</v>
      </c>
      <c r="E20" s="17">
        <f>Inputs!$B$42*(1+Inputs!$B$43)^(15-1)*Inputs!$B$44/1000*(1+Inputs!$B$45)</f>
        <v>0.21162061025861431</v>
      </c>
      <c r="F20" s="71">
        <f t="shared" si="1"/>
        <v>5.4922689540173986</v>
      </c>
      <c r="G20" s="17">
        <f>B20*Inputs!$B$48</f>
        <v>1.4365400309938652</v>
      </c>
      <c r="H20" s="17">
        <f>C20*Inputs!$B$49</f>
        <v>0.76691115632147311</v>
      </c>
      <c r="I20" s="17">
        <f>D20*Inputs!$B$50</f>
        <v>0.16445250148168752</v>
      </c>
      <c r="J20" s="17">
        <f>E20*Inputs!$B$51</f>
        <v>0.10581030512930716</v>
      </c>
      <c r="K20" s="71">
        <f t="shared" si="2"/>
        <v>2.4737139939263328</v>
      </c>
      <c r="L20" s="17">
        <f t="shared" si="3"/>
        <v>3.0185549600910657</v>
      </c>
      <c r="M20" s="69">
        <f t="shared" si="0"/>
        <v>0.54960071791151099</v>
      </c>
    </row>
    <row r="21" spans="1:13" ht="14.25" customHeight="1" x14ac:dyDescent="0.25">
      <c r="A21" s="19">
        <v>16</v>
      </c>
      <c r="B21" s="17">
        <f>((Inputs!$B$18*(1+Inputs!$B$19)^(16-1)*Inputs!$B$20)+(Inputs!$B$21*(1+Inputs!$B$22)^(16-1)*Inputs!$B$23))/1000*(1+Inputs!$B$24)</f>
        <v>3.6777470351307007</v>
      </c>
      <c r="C21" s="17">
        <f>((Inputs!$B$27*(1+Inputs!$B$28)^(16-1)*Inputs!$B$29)+(Inputs!$B$30*(1+Inputs!$B$31)^(16-1)*Inputs!$B$32))/1000*(1+Inputs!$B$33)</f>
        <v>1.7275682889767918</v>
      </c>
      <c r="D21" s="17">
        <f>Inputs!$B$36*(1+Inputs!$B$37)^(16-1)*Inputs!$B$38/1000*(1+Inputs!$B$39)</f>
        <v>0.3031646114271111</v>
      </c>
      <c r="E21" s="17">
        <f>Inputs!$B$42*(1+Inputs!$B$43)^(16-1)*Inputs!$B$44/1000*(1+Inputs!$B$45)</f>
        <v>0.2243178468741312</v>
      </c>
      <c r="F21" s="71">
        <f t="shared" si="1"/>
        <v>5.932797782408735</v>
      </c>
      <c r="G21" s="17">
        <f>B21*Inputs!$B$48</f>
        <v>1.5630424899305477</v>
      </c>
      <c r="H21" s="17">
        <f>C21*Inputs!$B$49</f>
        <v>0.82059493726397603</v>
      </c>
      <c r="I21" s="17">
        <f>D21*Inputs!$B$50</f>
        <v>0.17431965157058887</v>
      </c>
      <c r="J21" s="17">
        <f>E21*Inputs!$B$51</f>
        <v>0.1121589234370656</v>
      </c>
      <c r="K21" s="71">
        <f t="shared" si="2"/>
        <v>2.6701160022021777</v>
      </c>
      <c r="L21" s="17">
        <f t="shared" si="3"/>
        <v>3.2626817802065573</v>
      </c>
      <c r="M21" s="69">
        <f t="shared" si="0"/>
        <v>0.54993982600935676</v>
      </c>
    </row>
    <row r="22" spans="1:13" ht="14.25" customHeight="1" x14ac:dyDescent="0.25">
      <c r="A22" s="19">
        <v>17</v>
      </c>
      <c r="B22" s="17">
        <f>((Inputs!$B$18*(1+Inputs!$B$19)^(17-1)*Inputs!$B$20)+(Inputs!$B$21*(1+Inputs!$B$22)^(17-1)*Inputs!$B$23))/1000*(1+Inputs!$B$24)</f>
        <v>4.0016641850901431</v>
      </c>
      <c r="C22" s="17">
        <f>((Inputs!$B$27*(1+Inputs!$B$28)^(17-1)*Inputs!$B$29)+(Inputs!$B$30*(1+Inputs!$B$31)^(17-1)*Inputs!$B$32))/1000*(1+Inputs!$B$33)</f>
        <v>1.8484980692051671</v>
      </c>
      <c r="D22" s="17">
        <f>Inputs!$B$36*(1+Inputs!$B$37)^(17-1)*Inputs!$B$38/1000*(1+Inputs!$B$39)</f>
        <v>0.32135448811273765</v>
      </c>
      <c r="E22" s="17">
        <f>Inputs!$B$42*(1+Inputs!$B$43)^(17-1)*Inputs!$B$44/1000*(1+Inputs!$B$45)</f>
        <v>0.23777691768657905</v>
      </c>
      <c r="F22" s="71">
        <f t="shared" si="1"/>
        <v>6.4092936600946269</v>
      </c>
      <c r="G22" s="17">
        <f>B22*Inputs!$B$48</f>
        <v>1.7007072786633108</v>
      </c>
      <c r="H22" s="17">
        <f>C22*Inputs!$B$49</f>
        <v>0.87803658287245434</v>
      </c>
      <c r="I22" s="17">
        <f>D22*Inputs!$B$50</f>
        <v>0.18477883066482415</v>
      </c>
      <c r="J22" s="17">
        <f>E22*Inputs!$B$51</f>
        <v>0.11888845884328952</v>
      </c>
      <c r="K22" s="71">
        <f t="shared" si="2"/>
        <v>2.882411151043879</v>
      </c>
      <c r="L22" s="17">
        <f t="shared" si="3"/>
        <v>3.5268825090507478</v>
      </c>
      <c r="M22" s="69">
        <f t="shared" si="0"/>
        <v>0.55027631687555989</v>
      </c>
    </row>
    <row r="23" spans="1:13" ht="14.25" customHeight="1" x14ac:dyDescent="0.25">
      <c r="A23" s="19">
        <v>18</v>
      </c>
      <c r="B23" s="17">
        <f>((Inputs!$B$18*(1+Inputs!$B$19)^(18-1)*Inputs!$B$20)+(Inputs!$B$21*(1+Inputs!$B$22)^(18-1)*Inputs!$B$23))/1000*(1+Inputs!$B$24)</f>
        <v>4.3541674718897498</v>
      </c>
      <c r="C23" s="17">
        <f>((Inputs!$B$27*(1+Inputs!$B$28)^(18-1)*Inputs!$B$29)+(Inputs!$B$30*(1+Inputs!$B$31)^(18-1)*Inputs!$B$32))/1000*(1+Inputs!$B$33)</f>
        <v>1.977892934049529</v>
      </c>
      <c r="D23" s="17">
        <f>Inputs!$B$36*(1+Inputs!$B$37)^(18-1)*Inputs!$B$38/1000*(1+Inputs!$B$39)</f>
        <v>0.34063575739950192</v>
      </c>
      <c r="E23" s="17">
        <f>Inputs!$B$42*(1+Inputs!$B$43)^(18-1)*Inputs!$B$44/1000*(1+Inputs!$B$45)</f>
        <v>0.2520435327477738</v>
      </c>
      <c r="F23" s="71">
        <f t="shared" si="1"/>
        <v>6.9247396960865544</v>
      </c>
      <c r="G23" s="17">
        <f>B23*Inputs!$B$48</f>
        <v>1.8505211755531437</v>
      </c>
      <c r="H23" s="17">
        <f>C23*Inputs!$B$49</f>
        <v>0.93949914367352627</v>
      </c>
      <c r="I23" s="17">
        <f>D23*Inputs!$B$50</f>
        <v>0.1958655605047136</v>
      </c>
      <c r="J23" s="17">
        <f>E23*Inputs!$B$51</f>
        <v>0.1260217663738869</v>
      </c>
      <c r="K23" s="71">
        <f t="shared" si="2"/>
        <v>3.1119076461052706</v>
      </c>
      <c r="L23" s="17">
        <f t="shared" si="3"/>
        <v>3.8128320499812838</v>
      </c>
      <c r="M23" s="69">
        <f t="shared" si="0"/>
        <v>0.55061016259370255</v>
      </c>
    </row>
    <row r="24" spans="1:13" ht="14.25" customHeight="1" x14ac:dyDescent="0.25">
      <c r="A24" s="19">
        <v>19</v>
      </c>
      <c r="B24" s="17">
        <f>((Inputs!$B$18*(1+Inputs!$B$19)^(19-1)*Inputs!$B$20)+(Inputs!$B$21*(1+Inputs!$B$22)^(19-1)*Inputs!$B$23))/1000*(1+Inputs!$B$24)</f>
        <v>4.7377843353126412</v>
      </c>
      <c r="C24" s="17">
        <f>((Inputs!$B$27*(1+Inputs!$B$28)^(19-1)*Inputs!$B$29)+(Inputs!$B$30*(1+Inputs!$B$31)^(19-1)*Inputs!$B$32))/1000*(1+Inputs!$B$33)</f>
        <v>2.1163454394329957</v>
      </c>
      <c r="D24" s="17">
        <f>Inputs!$B$36*(1+Inputs!$B$37)^(19-1)*Inputs!$B$38/1000*(1+Inputs!$B$39)</f>
        <v>0.36107390284347202</v>
      </c>
      <c r="E24" s="17">
        <f>Inputs!$B$42*(1+Inputs!$B$43)^(19-1)*Inputs!$B$44/1000*(1+Inputs!$B$45)</f>
        <v>0.26716614471264022</v>
      </c>
      <c r="F24" s="71">
        <f t="shared" si="1"/>
        <v>7.4823698223017496</v>
      </c>
      <c r="G24" s="17">
        <f>B24*Inputs!$B$48</f>
        <v>2.0135583425078725</v>
      </c>
      <c r="H24" s="17">
        <f>C24*Inputs!$B$49</f>
        <v>1.005264083730673</v>
      </c>
      <c r="I24" s="17">
        <f>D24*Inputs!$B$50</f>
        <v>0.20761749413499639</v>
      </c>
      <c r="J24" s="17">
        <f>E24*Inputs!$B$51</f>
        <v>0.13358307235632011</v>
      </c>
      <c r="K24" s="71">
        <f t="shared" si="2"/>
        <v>3.3600229927298622</v>
      </c>
      <c r="L24" s="17">
        <f t="shared" si="3"/>
        <v>4.122346829571887</v>
      </c>
      <c r="M24" s="69">
        <f t="shared" si="0"/>
        <v>0.55094133643126419</v>
      </c>
    </row>
    <row r="25" spans="1:13" ht="14.25" customHeight="1" x14ac:dyDescent="0.25">
      <c r="A25" s="19">
        <v>20</v>
      </c>
      <c r="B25" s="17">
        <f>((Inputs!$B$18*(1+Inputs!$B$19)^(20-1)*Inputs!$B$20)+(Inputs!$B$21*(1+Inputs!$B$22)^(20-1)*Inputs!$B$23))/1000*(1+Inputs!$B$24)</f>
        <v>5.1552660597198168</v>
      </c>
      <c r="C25" s="17">
        <f>((Inputs!$B$27*(1+Inputs!$B$28)^(20-1)*Inputs!$B$29)+(Inputs!$B$30*(1+Inputs!$B$31)^(20-1)*Inputs!$B$32))/1000*(1+Inputs!$B$33)</f>
        <v>2.2644896201933054</v>
      </c>
      <c r="D25" s="17">
        <f>Inputs!$B$36*(1+Inputs!$B$37)^(20-1)*Inputs!$B$38/1000*(1+Inputs!$B$39)</f>
        <v>0.38273833701408044</v>
      </c>
      <c r="E25" s="17">
        <f>Inputs!$B$42*(1+Inputs!$B$43)^(20-1)*Inputs!$B$44/1000*(1+Inputs!$B$45)</f>
        <v>0.28319611339539869</v>
      </c>
      <c r="F25" s="71">
        <f t="shared" si="1"/>
        <v>8.0856901303226003</v>
      </c>
      <c r="G25" s="17">
        <f>B25*Inputs!$B$48</f>
        <v>2.1909880753809219</v>
      </c>
      <c r="H25" s="17">
        <f>C25*Inputs!$B$49</f>
        <v>1.0756325695918201</v>
      </c>
      <c r="I25" s="17">
        <f>D25*Inputs!$B$50</f>
        <v>0.22007454378309624</v>
      </c>
      <c r="J25" s="17">
        <f>E25*Inputs!$B$51</f>
        <v>0.14159805669769934</v>
      </c>
      <c r="K25" s="71">
        <f t="shared" si="2"/>
        <v>3.6282932454535377</v>
      </c>
      <c r="L25" s="17">
        <f t="shared" si="3"/>
        <v>4.4573968848690626</v>
      </c>
      <c r="M25" s="69">
        <f t="shared" si="0"/>
        <v>0.55126981284542775</v>
      </c>
    </row>
    <row r="26" spans="1:13" ht="14.25" customHeight="1" x14ac:dyDescent="0.25">
      <c r="A26" s="19" t="s">
        <v>207</v>
      </c>
      <c r="B26" s="17">
        <f t="shared" ref="B26:L26" si="4">SUM(B5:B25)</f>
        <v>51.924949713917613</v>
      </c>
      <c r="C26" s="17">
        <f t="shared" si="4"/>
        <v>25.669337765811957</v>
      </c>
      <c r="D26" s="17">
        <f t="shared" si="4"/>
        <v>4.65337728724875</v>
      </c>
      <c r="E26" s="17">
        <f t="shared" si="4"/>
        <v>3.4431313366520402</v>
      </c>
      <c r="F26" s="71">
        <f t="shared" si="4"/>
        <v>85.690796103630362</v>
      </c>
      <c r="G26" s="17">
        <f t="shared" si="4"/>
        <v>22.068103628414981</v>
      </c>
      <c r="H26" s="17">
        <f t="shared" si="4"/>
        <v>12.192935438760678</v>
      </c>
      <c r="I26" s="17">
        <f t="shared" si="4"/>
        <v>2.6756919401680319</v>
      </c>
      <c r="J26" s="17">
        <f t="shared" si="4"/>
        <v>1.7215656683260201</v>
      </c>
      <c r="K26" s="71">
        <f t="shared" si="4"/>
        <v>38.658296675669718</v>
      </c>
      <c r="L26" s="17">
        <f t="shared" si="4"/>
        <v>47.032499427960644</v>
      </c>
      <c r="M26" s="69"/>
    </row>
    <row r="28" spans="1:13" ht="14.25" customHeight="1" x14ac:dyDescent="0.25">
      <c r="A28" s="55" t="s">
        <v>165</v>
      </c>
    </row>
  </sheetData>
  <mergeCells count="2">
    <mergeCell ref="A1:M1"/>
    <mergeCell ref="A2:M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28"/>
  <sheetViews>
    <sheetView showGridLines="0" zoomScaleNormal="100" workbookViewId="0">
      <pane ySplit="4" topLeftCell="A5" activePane="bottomLeft" state="frozen"/>
      <selection pane="bottomLeft" activeCell="A20" sqref="A20"/>
    </sheetView>
  </sheetViews>
  <sheetFormatPr defaultColWidth="8.7109375" defaultRowHeight="14.25" customHeight="1" x14ac:dyDescent="0.25"/>
  <cols>
    <col min="1" max="12" width="10.7109375" customWidth="1"/>
    <col min="13" max="13" width="16.28515625" customWidth="1"/>
  </cols>
  <sheetData>
    <row r="1" spans="1:13" ht="21" customHeight="1" x14ac:dyDescent="0.35">
      <c r="A1" s="6" t="s">
        <v>359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4.25" customHeight="1" x14ac:dyDescent="0.25">
      <c r="A2" s="5" t="s">
        <v>360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ht="28.5" customHeight="1" x14ac:dyDescent="0.25">
      <c r="A4" s="61" t="s">
        <v>198</v>
      </c>
      <c r="B4" s="61" t="s">
        <v>361</v>
      </c>
      <c r="C4" s="61" t="s">
        <v>271</v>
      </c>
      <c r="D4" s="61" t="s">
        <v>357</v>
      </c>
      <c r="E4" s="61" t="s">
        <v>362</v>
      </c>
      <c r="F4" s="61" t="s">
        <v>363</v>
      </c>
      <c r="G4" s="61" t="s">
        <v>364</v>
      </c>
      <c r="H4" s="61" t="s">
        <v>365</v>
      </c>
      <c r="I4" s="61" t="s">
        <v>366</v>
      </c>
      <c r="J4" s="61" t="s">
        <v>367</v>
      </c>
      <c r="K4" s="61" t="s">
        <v>368</v>
      </c>
      <c r="L4" s="61" t="s">
        <v>369</v>
      </c>
      <c r="M4" s="61" t="s">
        <v>370</v>
      </c>
    </row>
    <row r="5" spans="1:13" ht="14.25" customHeight="1" x14ac:dyDescent="0.25">
      <c r="A5" s="19">
        <v>0</v>
      </c>
      <c r="B5" s="17">
        <f>Operations!F5</f>
        <v>0</v>
      </c>
      <c r="C5" s="17">
        <f>Operations!K5</f>
        <v>0</v>
      </c>
      <c r="D5" s="17">
        <f>Operations!L5</f>
        <v>0</v>
      </c>
      <c r="E5" s="17">
        <f>B5*Inputs!$B$52</f>
        <v>0</v>
      </c>
      <c r="F5" s="17">
        <f>CAPEX!G5</f>
        <v>0.125</v>
      </c>
      <c r="G5" s="17">
        <f>MAX(0,(D5-E5)*Inputs!$B$53)</f>
        <v>0</v>
      </c>
      <c r="H5" s="17">
        <f>IF(A5=20,D5*Inputs!$B$60*(1-Inputs!$B$61),0)</f>
        <v>0</v>
      </c>
      <c r="I5" s="17">
        <f t="shared" ref="I5:I25" si="0">D5-E5-F5-G5+H5</f>
        <v>-0.125</v>
      </c>
      <c r="J5" s="17">
        <f>1/(1+Inputs!$B$59)^A5</f>
        <v>1</v>
      </c>
      <c r="K5" s="17">
        <f t="shared" ref="K5:K25" si="1">I5*J5</f>
        <v>-0.125</v>
      </c>
      <c r="L5" s="17">
        <f>I5</f>
        <v>-0.125</v>
      </c>
      <c r="M5" s="17"/>
    </row>
    <row r="6" spans="1:13" ht="14.25" customHeight="1" x14ac:dyDescent="0.25">
      <c r="A6" s="19">
        <v>1</v>
      </c>
      <c r="B6" s="17">
        <f>Operations!F6</f>
        <v>1.88475025</v>
      </c>
      <c r="C6" s="17">
        <f>Operations!K6</f>
        <v>0.85832136874999987</v>
      </c>
      <c r="D6" s="17">
        <f>Operations!L6</f>
        <v>1.0264288812500002</v>
      </c>
      <c r="E6" s="17">
        <f>B6*Inputs!$B$52</f>
        <v>4.7118756250000005E-2</v>
      </c>
      <c r="F6" s="17">
        <f>CAPEX!G6</f>
        <v>2.4785714285714326</v>
      </c>
      <c r="G6" s="17">
        <f>MAX(0,(D6-E6)*Inputs!$B$53)</f>
        <v>0.2644137337500001</v>
      </c>
      <c r="H6" s="17">
        <f>IF(A6=20,D6*Inputs!$B$60*(1-Inputs!$B$61),0)</f>
        <v>0</v>
      </c>
      <c r="I6" s="17">
        <f t="shared" si="0"/>
        <v>-1.7636750373214325</v>
      </c>
      <c r="J6" s="17">
        <f>1/(1+Inputs!$B$59)^A6</f>
        <v>0.92165898617511521</v>
      </c>
      <c r="K6" s="17">
        <f t="shared" si="1"/>
        <v>-1.6255069468400301</v>
      </c>
      <c r="L6" s="17">
        <f t="shared" ref="L6:L25" si="2">L5+I6</f>
        <v>-1.8886750373214325</v>
      </c>
      <c r="M6" s="17"/>
    </row>
    <row r="7" spans="1:13" ht="14.25" customHeight="1" x14ac:dyDescent="0.25">
      <c r="A7" s="19">
        <v>2</v>
      </c>
      <c r="B7" s="17">
        <f>Operations!F7</f>
        <v>2.0330198300000002</v>
      </c>
      <c r="C7" s="17">
        <f>Operations!K7</f>
        <v>0.92508716612499997</v>
      </c>
      <c r="D7" s="17">
        <f>Operations!L7</f>
        <v>1.1079326638750002</v>
      </c>
      <c r="E7" s="17">
        <f>B7*Inputs!$B$52</f>
        <v>5.0825495750000005E-2</v>
      </c>
      <c r="F7" s="17">
        <f>CAPEX!G7</f>
        <v>2.4785714285714326</v>
      </c>
      <c r="G7" s="17">
        <f>MAX(0,(D7-E7)*Inputs!$B$53)</f>
        <v>0.28541893539375007</v>
      </c>
      <c r="H7" s="17">
        <f>IF(A7=20,D7*Inputs!$B$60*(1-Inputs!$B$61),0)</f>
        <v>0</v>
      </c>
      <c r="I7" s="17">
        <f t="shared" si="0"/>
        <v>-1.7068831958401827</v>
      </c>
      <c r="J7" s="17">
        <f>1/(1+Inputs!$B$59)^A7</f>
        <v>0.84945528679734128</v>
      </c>
      <c r="K7" s="17">
        <f t="shared" si="1"/>
        <v>-1.4499209546519849</v>
      </c>
      <c r="L7" s="17">
        <f t="shared" si="2"/>
        <v>-3.5955582331616149</v>
      </c>
      <c r="M7" s="17"/>
    </row>
    <row r="8" spans="1:13" ht="14.25" customHeight="1" x14ac:dyDescent="0.25">
      <c r="A8" s="19">
        <v>3</v>
      </c>
      <c r="B8" s="17">
        <f>Operations!F8</f>
        <v>2.1931823268500001</v>
      </c>
      <c r="C8" s="17">
        <f>Operations!K8</f>
        <v>0.99715444197250014</v>
      </c>
      <c r="D8" s="17">
        <f>Operations!L8</f>
        <v>1.1960278848775001</v>
      </c>
      <c r="E8" s="17">
        <f>B8*Inputs!$B$52</f>
        <v>5.4829558171250008E-2</v>
      </c>
      <c r="F8" s="17">
        <f>CAPEX!G8</f>
        <v>2.4785714285714326</v>
      </c>
      <c r="G8" s="17">
        <f>MAX(0,(D8-E8)*Inputs!$B$53)</f>
        <v>0.3081235482106876</v>
      </c>
      <c r="H8" s="17">
        <f>IF(A8=20,D8*Inputs!$B$60*(1-Inputs!$B$61),0)</f>
        <v>0</v>
      </c>
      <c r="I8" s="17">
        <f t="shared" si="0"/>
        <v>-1.6454966500758701</v>
      </c>
      <c r="J8" s="17">
        <f>1/(1+Inputs!$B$59)^A8</f>
        <v>0.78290809843072917</v>
      </c>
      <c r="K8" s="17">
        <f t="shared" si="1"/>
        <v>-1.2882726532850344</v>
      </c>
      <c r="L8" s="17">
        <f t="shared" si="2"/>
        <v>-5.241054883237485</v>
      </c>
      <c r="M8" s="17"/>
    </row>
    <row r="9" spans="1:13" ht="14.25" customHeight="1" x14ac:dyDescent="0.25">
      <c r="A9" s="19">
        <v>4</v>
      </c>
      <c r="B9" s="17">
        <f>Operations!F9</f>
        <v>2.3662086851420008</v>
      </c>
      <c r="C9" s="17">
        <f>Operations!K9</f>
        <v>1.0749522011408876</v>
      </c>
      <c r="D9" s="17">
        <f>Operations!L9</f>
        <v>1.2912564840011131</v>
      </c>
      <c r="E9" s="17">
        <f>B9*Inputs!$B$52</f>
        <v>5.9155217128550021E-2</v>
      </c>
      <c r="F9" s="17">
        <f>CAPEX!G9</f>
        <v>2.4785714285714326</v>
      </c>
      <c r="G9" s="17">
        <f>MAX(0,(D9-E9)*Inputs!$B$53)</f>
        <v>0.33266734205559206</v>
      </c>
      <c r="H9" s="17">
        <f>IF(A9=20,D9*Inputs!$B$60*(1-Inputs!$B$61),0)</f>
        <v>0</v>
      </c>
      <c r="I9" s="17">
        <f t="shared" si="0"/>
        <v>-1.5791375037544617</v>
      </c>
      <c r="J9" s="17">
        <f>1/(1+Inputs!$B$59)^A9</f>
        <v>0.72157428426795334</v>
      </c>
      <c r="K9" s="17">
        <f t="shared" si="1"/>
        <v>-1.1394650140323082</v>
      </c>
      <c r="L9" s="17">
        <f t="shared" si="2"/>
        <v>-6.8201923869919465</v>
      </c>
      <c r="M9" s="17"/>
    </row>
    <row r="10" spans="1:13" ht="14.25" customHeight="1" x14ac:dyDescent="0.25">
      <c r="A10" s="19">
        <v>5</v>
      </c>
      <c r="B10" s="17">
        <f>Operations!F10</f>
        <v>2.5531503700905653</v>
      </c>
      <c r="C10" s="17">
        <f>Operations!K10</f>
        <v>1.1589447583317152</v>
      </c>
      <c r="D10" s="17">
        <f>Operations!L10</f>
        <v>1.3942056117588502</v>
      </c>
      <c r="E10" s="17">
        <f>B10*Inputs!$B$52</f>
        <v>6.3828759252264139E-2</v>
      </c>
      <c r="F10" s="17">
        <f>CAPEX!G10</f>
        <v>2.4785714285714326</v>
      </c>
      <c r="G10" s="17">
        <f>MAX(0,(D10-E10)*Inputs!$B$53)</f>
        <v>0.35920175017677825</v>
      </c>
      <c r="H10" s="17">
        <f>IF(A10=20,D10*Inputs!$B$60*(1-Inputs!$B$61),0)</f>
        <v>0</v>
      </c>
      <c r="I10" s="17">
        <f t="shared" si="0"/>
        <v>-1.5073963262416248</v>
      </c>
      <c r="J10" s="17">
        <f>1/(1+Inputs!$B$59)^A10</f>
        <v>0.66504542328843619</v>
      </c>
      <c r="K10" s="17">
        <f t="shared" si="1"/>
        <v>-1.002487027848795</v>
      </c>
      <c r="L10" s="17">
        <f t="shared" si="2"/>
        <v>-8.3275887132335704</v>
      </c>
      <c r="M10" s="17"/>
    </row>
    <row r="11" spans="1:13" ht="14.25" customHeight="1" x14ac:dyDescent="0.25">
      <c r="A11" s="19">
        <v>6</v>
      </c>
      <c r="B11" s="17">
        <f>Operations!F11</f>
        <v>2.7551461367164665</v>
      </c>
      <c r="C11" s="17">
        <f>Operations!K11</f>
        <v>1.2496346878349971</v>
      </c>
      <c r="D11" s="17">
        <f>Operations!L11</f>
        <v>1.5055114488814694</v>
      </c>
      <c r="E11" s="17">
        <f>B11*Inputs!$B$52</f>
        <v>6.8878653417911662E-2</v>
      </c>
      <c r="F11" s="17">
        <f>CAPEX!G11</f>
        <v>2.0785714285714327</v>
      </c>
      <c r="G11" s="17">
        <f>MAX(0,(D11-E11)*Inputs!$B$53)</f>
        <v>0.38789085477516055</v>
      </c>
      <c r="H11" s="17">
        <f>IF(A11=20,D11*Inputs!$B$60*(1-Inputs!$B$61),0)</f>
        <v>0</v>
      </c>
      <c r="I11" s="17">
        <f t="shared" si="0"/>
        <v>-1.0298294878830356</v>
      </c>
      <c r="J11" s="17">
        <f>1/(1+Inputs!$B$59)^A11</f>
        <v>0.6129450905884205</v>
      </c>
      <c r="K11" s="17">
        <f t="shared" si="1"/>
        <v>-0.63122892874109393</v>
      </c>
      <c r="L11" s="17">
        <f t="shared" si="2"/>
        <v>-9.3574182011166052</v>
      </c>
      <c r="M11" s="17"/>
    </row>
    <row r="12" spans="1:13" ht="14.25" customHeight="1" x14ac:dyDescent="0.25">
      <c r="A12" s="19">
        <v>7</v>
      </c>
      <c r="B12" s="17">
        <f>Operations!F12</f>
        <v>2.9734293747613285</v>
      </c>
      <c r="C12" s="17">
        <f>Operations!K12</f>
        <v>1.3475660228463011</v>
      </c>
      <c r="D12" s="17">
        <f>Operations!L12</f>
        <v>1.6258633519150274</v>
      </c>
      <c r="E12" s="17">
        <f>B12*Inputs!$B$52</f>
        <v>7.4335734369033221E-2</v>
      </c>
      <c r="F12" s="17">
        <f>CAPEX!G12</f>
        <v>2.0785714285714327</v>
      </c>
      <c r="G12" s="17">
        <f>MAX(0,(D12-E12)*Inputs!$B$53)</f>
        <v>0.41891245673741845</v>
      </c>
      <c r="H12" s="17">
        <f>IF(A12=20,D12*Inputs!$B$60*(1-Inputs!$B$61),0)</f>
        <v>0</v>
      </c>
      <c r="I12" s="17">
        <f t="shared" si="0"/>
        <v>-0.94595626776285702</v>
      </c>
      <c r="J12" s="17">
        <f>1/(1+Inputs!$B$59)^A12</f>
        <v>0.56492635077273778</v>
      </c>
      <c r="K12" s="17">
        <f t="shared" si="1"/>
        <v>-0.53439562233786964</v>
      </c>
      <c r="L12" s="17">
        <f t="shared" si="2"/>
        <v>-10.303374468879461</v>
      </c>
      <c r="M12" s="17"/>
    </row>
    <row r="13" spans="1:13" ht="14.25" customHeight="1" x14ac:dyDescent="0.25">
      <c r="A13" s="19">
        <v>8</v>
      </c>
      <c r="B13" s="17">
        <f>Operations!F13</f>
        <v>3.2093360787825986</v>
      </c>
      <c r="C13" s="17">
        <f>Operations!K13</f>
        <v>1.4533277257122017</v>
      </c>
      <c r="D13" s="17">
        <f>Operations!L13</f>
        <v>1.7560083530703969</v>
      </c>
      <c r="E13" s="17">
        <f>B13*Inputs!$B$52</f>
        <v>8.0233401969564966E-2</v>
      </c>
      <c r="F13" s="17">
        <f>CAPEX!G13</f>
        <v>0.65</v>
      </c>
      <c r="G13" s="17">
        <f>MAX(0,(D13-E13)*Inputs!$B$53)</f>
        <v>0.45245923679722466</v>
      </c>
      <c r="H13" s="17">
        <f>IF(A13=20,D13*Inputs!$B$60*(1-Inputs!$B$61),0)</f>
        <v>0</v>
      </c>
      <c r="I13" s="17">
        <f t="shared" si="0"/>
        <v>0.57331571430360739</v>
      </c>
      <c r="J13" s="17">
        <f>1/(1+Inputs!$B$59)^A13</f>
        <v>0.52066944771680901</v>
      </c>
      <c r="K13" s="17">
        <f t="shared" si="1"/>
        <v>0.29850797633382714</v>
      </c>
      <c r="L13" s="17">
        <f t="shared" si="2"/>
        <v>-9.7300587545758539</v>
      </c>
      <c r="M13" s="17"/>
    </row>
    <row r="14" spans="1:13" ht="14.25" customHeight="1" x14ac:dyDescent="0.25">
      <c r="A14" s="19">
        <v>9</v>
      </c>
      <c r="B14" s="17">
        <f>Operations!F14</f>
        <v>3.464313497160167</v>
      </c>
      <c r="C14" s="17">
        <f>Operations!K14</f>
        <v>1.5675574522929154</v>
      </c>
      <c r="D14" s="17">
        <f>Operations!L14</f>
        <v>1.8967560448672516</v>
      </c>
      <c r="E14" s="17">
        <f>B14*Inputs!$B$52</f>
        <v>8.6607837429004186E-2</v>
      </c>
      <c r="F14" s="17">
        <f>CAPEX!G14</f>
        <v>0.65</v>
      </c>
      <c r="G14" s="17">
        <f>MAX(0,(D14-E14)*Inputs!$B$53)</f>
        <v>0.48874001600832684</v>
      </c>
      <c r="H14" s="17">
        <f>IF(A14=20,D14*Inputs!$B$60*(1-Inputs!$B$61),0)</f>
        <v>0</v>
      </c>
      <c r="I14" s="17">
        <f t="shared" si="0"/>
        <v>0.67140819142992059</v>
      </c>
      <c r="J14" s="17">
        <f>1/(1+Inputs!$B$59)^A14</f>
        <v>0.4798796753150314</v>
      </c>
      <c r="K14" s="17">
        <f t="shared" si="1"/>
        <v>0.32219514490724271</v>
      </c>
      <c r="L14" s="17">
        <f t="shared" si="2"/>
        <v>-9.0586505631459335</v>
      </c>
      <c r="M14" s="17"/>
    </row>
    <row r="15" spans="1:13" ht="14.25" customHeight="1" x14ac:dyDescent="0.25">
      <c r="A15" s="19">
        <v>10</v>
      </c>
      <c r="B15" s="17">
        <f>Operations!F15</f>
        <v>3.739929518401278</v>
      </c>
      <c r="C15" s="17">
        <f>Operations!K15</f>
        <v>1.6909456356334025</v>
      </c>
      <c r="D15" s="17">
        <f>Operations!L15</f>
        <v>2.0489838827678755</v>
      </c>
      <c r="E15" s="17">
        <f>B15*Inputs!$B$52</f>
        <v>9.3498237960031955E-2</v>
      </c>
      <c r="F15" s="17">
        <f>CAPEX!G15</f>
        <v>0.65</v>
      </c>
      <c r="G15" s="17">
        <f>MAX(0,(D15-E15)*Inputs!$B$53)</f>
        <v>0.52798112409811782</v>
      </c>
      <c r="H15" s="17">
        <f>IF(A15=20,D15*Inputs!$B$60*(1-Inputs!$B$61),0)</f>
        <v>0</v>
      </c>
      <c r="I15" s="17">
        <f t="shared" si="0"/>
        <v>0.77750452070972575</v>
      </c>
      <c r="J15" s="17">
        <f>1/(1+Inputs!$B$59)^A15</f>
        <v>0.44228541503689528</v>
      </c>
      <c r="K15" s="17">
        <f t="shared" si="1"/>
        <v>0.34387890963516338</v>
      </c>
      <c r="L15" s="17">
        <f t="shared" si="2"/>
        <v>-8.2811460424362071</v>
      </c>
      <c r="M15" s="17"/>
    </row>
    <row r="16" spans="1:13" ht="14.25" customHeight="1" x14ac:dyDescent="0.25">
      <c r="A16" s="19">
        <v>11</v>
      </c>
      <c r="B16" s="17">
        <f>Operations!F16</f>
        <v>4.0378828581917574</v>
      </c>
      <c r="C16" s="17">
        <f>Operations!K16</f>
        <v>1.8242399163108634</v>
      </c>
      <c r="D16" s="17">
        <f>Operations!L16</f>
        <v>2.2136429418808943</v>
      </c>
      <c r="E16" s="17">
        <f>B16*Inputs!$B$52</f>
        <v>0.10094707145479394</v>
      </c>
      <c r="F16" s="17">
        <f>CAPEX!G16</f>
        <v>0.65</v>
      </c>
      <c r="G16" s="17">
        <f>MAX(0,(D16-E16)*Inputs!$B$53)</f>
        <v>0.57042788501504715</v>
      </c>
      <c r="H16" s="17">
        <f>IF(A16=20,D16*Inputs!$B$60*(1-Inputs!$B$61),0)</f>
        <v>0</v>
      </c>
      <c r="I16" s="17">
        <f t="shared" si="0"/>
        <v>0.89226798541105345</v>
      </c>
      <c r="J16" s="17">
        <f>1/(1+Inputs!$B$59)^A16</f>
        <v>0.40763632722294496</v>
      </c>
      <c r="K16" s="17">
        <f t="shared" si="1"/>
        <v>0.36372084447157804</v>
      </c>
      <c r="L16" s="17">
        <f t="shared" si="2"/>
        <v>-7.3888780570251535</v>
      </c>
      <c r="M16" s="17"/>
    </row>
    <row r="17" spans="1:13" ht="14.25" customHeight="1" x14ac:dyDescent="0.25">
      <c r="A17" s="19">
        <v>12</v>
      </c>
      <c r="B17" s="17">
        <f>Operations!F17</f>
        <v>4.3600141161445487</v>
      </c>
      <c r="C17" s="17">
        <f>Operations!K17</f>
        <v>1.9682499491926391</v>
      </c>
      <c r="D17" s="17">
        <f>Operations!L17</f>
        <v>2.3917641669519094</v>
      </c>
      <c r="E17" s="17">
        <f>B17*Inputs!$B$52</f>
        <v>0.10900035290361372</v>
      </c>
      <c r="F17" s="17">
        <f>CAPEX!G17</f>
        <v>0.65</v>
      </c>
      <c r="G17" s="17">
        <f>MAX(0,(D17-E17)*Inputs!$B$53)</f>
        <v>0.61634622979303988</v>
      </c>
      <c r="H17" s="17">
        <f>IF(A17=20,D17*Inputs!$B$60*(1-Inputs!$B$61),0)</f>
        <v>0</v>
      </c>
      <c r="I17" s="17">
        <f t="shared" si="0"/>
        <v>1.0164175842552559</v>
      </c>
      <c r="J17" s="17">
        <f>1/(1+Inputs!$B$59)^A17</f>
        <v>0.37570168407644705</v>
      </c>
      <c r="K17" s="17">
        <f t="shared" si="1"/>
        <v>0.38186979812961364</v>
      </c>
      <c r="L17" s="17">
        <f t="shared" si="2"/>
        <v>-6.3724604727698981</v>
      </c>
      <c r="M17" s="17"/>
    </row>
    <row r="18" spans="1:13" ht="93" customHeight="1" x14ac:dyDescent="0.25">
      <c r="A18" s="19">
        <v>13</v>
      </c>
      <c r="B18" s="17">
        <f>Operations!F18</f>
        <v>4.7083177771799694</v>
      </c>
      <c r="C18" s="17">
        <f>Operations!K18</f>
        <v>2.1238526189106381</v>
      </c>
      <c r="D18" s="17">
        <f>Operations!L18</f>
        <v>2.5844651582693312</v>
      </c>
      <c r="E18" s="17">
        <f>B18*Inputs!$B$52</f>
        <v>0.11770794442949924</v>
      </c>
      <c r="F18" s="17">
        <f>CAPEX!G18</f>
        <v>0.65</v>
      </c>
      <c r="G18" s="17">
        <f>MAX(0,(D18-E18)*Inputs!$B$53)</f>
        <v>0.66602444773675462</v>
      </c>
      <c r="H18" s="17">
        <f>IF(A18=20,D18*Inputs!$B$60*(1-Inputs!$B$61),0)</f>
        <v>0</v>
      </c>
      <c r="I18" s="17">
        <f t="shared" si="0"/>
        <v>1.1507327661030775</v>
      </c>
      <c r="J18" s="17">
        <f>1/(1+Inputs!$B$59)^A18</f>
        <v>0.3462688332501816</v>
      </c>
      <c r="K18" s="17">
        <f t="shared" si="1"/>
        <v>0.39846289230126675</v>
      </c>
      <c r="L18" s="17">
        <f t="shared" si="2"/>
        <v>-5.2217277066668206</v>
      </c>
      <c r="M18" s="63"/>
    </row>
    <row r="19" spans="1:13" ht="93" customHeight="1" x14ac:dyDescent="0.25">
      <c r="A19" s="19">
        <v>14</v>
      </c>
      <c r="B19" s="17">
        <f>Operations!F19</f>
        <v>5.0849552389780159</v>
      </c>
      <c r="C19" s="17">
        <f>Operations!K19</f>
        <v>2.2919976991545949</v>
      </c>
      <c r="D19" s="17">
        <f>Operations!L19</f>
        <v>2.792957539823421</v>
      </c>
      <c r="E19" s="17">
        <f>B19*Inputs!$B$52</f>
        <v>0.1271238809744504</v>
      </c>
      <c r="F19" s="17">
        <f>CAPEX!G19</f>
        <v>0.65</v>
      </c>
      <c r="G19" s="17">
        <f>MAX(0,(D19-E19)*Inputs!$B$53)</f>
        <v>0.71977508788922206</v>
      </c>
      <c r="H19" s="17">
        <f>IF(A19=20,D19*Inputs!$B$60*(1-Inputs!$B$61),0)</f>
        <v>0</v>
      </c>
      <c r="I19" s="17">
        <f t="shared" si="0"/>
        <v>1.2960585709597487</v>
      </c>
      <c r="J19" s="17">
        <f>1/(1+Inputs!$B$59)^A19</f>
        <v>0.31914178179740244</v>
      </c>
      <c r="K19" s="17">
        <f t="shared" si="1"/>
        <v>0.41362644164988938</v>
      </c>
      <c r="L19" s="17">
        <f t="shared" si="2"/>
        <v>-3.9256691357070719</v>
      </c>
      <c r="M19" s="63"/>
    </row>
    <row r="20" spans="1:13" ht="93" customHeight="1" x14ac:dyDescent="0.25">
      <c r="A20" s="19">
        <v>15</v>
      </c>
      <c r="B20" s="17">
        <f>Operations!F20</f>
        <v>5.4922689540173986</v>
      </c>
      <c r="C20" s="17">
        <f>Operations!K20</f>
        <v>2.4737139939263328</v>
      </c>
      <c r="D20" s="17">
        <f>Operations!L20</f>
        <v>3.0185549600910657</v>
      </c>
      <c r="E20" s="17">
        <f>B20*Inputs!$B$52</f>
        <v>0.13730672385043496</v>
      </c>
      <c r="F20" s="17">
        <f>CAPEX!G20</f>
        <v>0.65</v>
      </c>
      <c r="G20" s="17">
        <f>MAX(0,(D20-E20)*Inputs!$B$53)</f>
        <v>0.77793702378497043</v>
      </c>
      <c r="H20" s="17">
        <f>IF(A20=20,D20*Inputs!$B$60*(1-Inputs!$B$61),0)</f>
        <v>0</v>
      </c>
      <c r="I20" s="17">
        <f t="shared" si="0"/>
        <v>1.4533112124556604</v>
      </c>
      <c r="J20" s="17">
        <f>1/(1+Inputs!$B$59)^A20</f>
        <v>0.2941398910575137</v>
      </c>
      <c r="K20" s="17">
        <f t="shared" si="1"/>
        <v>0.42747680170437108</v>
      </c>
      <c r="L20" s="17">
        <f t="shared" si="2"/>
        <v>-2.4723579232514115</v>
      </c>
      <c r="M20" s="63"/>
    </row>
    <row r="21" spans="1:13" ht="93" customHeight="1" x14ac:dyDescent="0.25">
      <c r="A21" s="19">
        <v>16</v>
      </c>
      <c r="B21" s="17">
        <f>Operations!F21</f>
        <v>5.932797782408735</v>
      </c>
      <c r="C21" s="17">
        <f>Operations!K21</f>
        <v>2.6701160022021777</v>
      </c>
      <c r="D21" s="17">
        <f>Operations!L21</f>
        <v>3.2626817802065573</v>
      </c>
      <c r="E21" s="17">
        <f>B21*Inputs!$B$52</f>
        <v>0.14831994456021838</v>
      </c>
      <c r="F21" s="17">
        <f>CAPEX!G21</f>
        <v>0.65</v>
      </c>
      <c r="G21" s="17">
        <f>MAX(0,(D21-E21)*Inputs!$B$53)</f>
        <v>0.84087769562451153</v>
      </c>
      <c r="H21" s="17">
        <f>IF(A21=20,D21*Inputs!$B$60*(1-Inputs!$B$61),0)</f>
        <v>0</v>
      </c>
      <c r="I21" s="17">
        <f t="shared" si="0"/>
        <v>1.6234841400218274</v>
      </c>
      <c r="J21" s="17">
        <f>1/(1+Inputs!$B$59)^A21</f>
        <v>0.27109667378572694</v>
      </c>
      <c r="K21" s="17">
        <f t="shared" si="1"/>
        <v>0.44012115030379878</v>
      </c>
      <c r="L21" s="17">
        <f t="shared" si="2"/>
        <v>-0.84887378322958407</v>
      </c>
      <c r="M21" s="63"/>
    </row>
    <row r="22" spans="1:13" ht="93" customHeight="1" x14ac:dyDescent="0.25">
      <c r="A22" s="19">
        <v>17</v>
      </c>
      <c r="B22" s="17">
        <f>Operations!F22</f>
        <v>6.4092936600946269</v>
      </c>
      <c r="C22" s="17">
        <f>Operations!K22</f>
        <v>2.882411151043879</v>
      </c>
      <c r="D22" s="17">
        <f>Operations!L22</f>
        <v>3.5268825090507478</v>
      </c>
      <c r="E22" s="17">
        <f>B22*Inputs!$B$52</f>
        <v>0.16023234150236568</v>
      </c>
      <c r="F22" s="17">
        <f>CAPEX!G22</f>
        <v>0.65</v>
      </c>
      <c r="G22" s="17">
        <f>MAX(0,(D22-E22)*Inputs!$B$53)</f>
        <v>0.90899554523806325</v>
      </c>
      <c r="H22" s="17">
        <f>IF(A22=20,D22*Inputs!$B$60*(1-Inputs!$B$61),0)</f>
        <v>0</v>
      </c>
      <c r="I22" s="17">
        <f t="shared" si="0"/>
        <v>1.8076546223103191</v>
      </c>
      <c r="J22" s="17">
        <f>1/(1+Inputs!$B$59)^A22</f>
        <v>0.24985868551679907</v>
      </c>
      <c r="K22" s="17">
        <f t="shared" si="1"/>
        <v>0.45165820779882226</v>
      </c>
      <c r="L22" s="17">
        <f t="shared" si="2"/>
        <v>0.95878083908073508</v>
      </c>
      <c r="M22" s="63"/>
    </row>
    <row r="23" spans="1:13" ht="93" customHeight="1" x14ac:dyDescent="0.25">
      <c r="A23" s="19">
        <v>18</v>
      </c>
      <c r="B23" s="17">
        <f>Operations!F23</f>
        <v>6.9247396960865544</v>
      </c>
      <c r="C23" s="17">
        <f>Operations!K23</f>
        <v>3.1119076461052706</v>
      </c>
      <c r="D23" s="17">
        <f>Operations!L23</f>
        <v>3.8128320499812838</v>
      </c>
      <c r="E23" s="17">
        <f>B23*Inputs!$B$52</f>
        <v>0.17311849240216387</v>
      </c>
      <c r="F23" s="17">
        <f>CAPEX!G23</f>
        <v>0.65</v>
      </c>
      <c r="G23" s="17">
        <f>MAX(0,(D23-E23)*Inputs!$B$53)</f>
        <v>0.98272266054636237</v>
      </c>
      <c r="H23" s="17">
        <f>IF(A23=20,D23*Inputs!$B$60*(1-Inputs!$B$61),0)</f>
        <v>0</v>
      </c>
      <c r="I23" s="17">
        <f t="shared" si="0"/>
        <v>2.0069908970327575</v>
      </c>
      <c r="J23" s="17">
        <f>1/(1+Inputs!$B$59)^A23</f>
        <v>0.23028450278045995</v>
      </c>
      <c r="K23" s="17">
        <f t="shared" si="1"/>
        <v>0.46217890080809781</v>
      </c>
      <c r="L23" s="17">
        <f t="shared" si="2"/>
        <v>2.9657717361134925</v>
      </c>
      <c r="M23" s="63"/>
    </row>
    <row r="24" spans="1:13" ht="93" customHeight="1" x14ac:dyDescent="0.25">
      <c r="A24" s="19">
        <v>19</v>
      </c>
      <c r="B24" s="17">
        <f>Operations!F24</f>
        <v>7.4823698223017496</v>
      </c>
      <c r="C24" s="17">
        <f>Operations!K24</f>
        <v>3.3600229927298622</v>
      </c>
      <c r="D24" s="17">
        <f>Operations!L24</f>
        <v>4.122346829571887</v>
      </c>
      <c r="E24" s="17">
        <f>B24*Inputs!$B$52</f>
        <v>0.18705924555754375</v>
      </c>
      <c r="F24" s="17">
        <f>CAPEX!G24</f>
        <v>0.65</v>
      </c>
      <c r="G24" s="17">
        <f>MAX(0,(D24-E24)*Inputs!$B$53)</f>
        <v>1.0625276476838728</v>
      </c>
      <c r="H24" s="17">
        <f>IF(A24=20,D24*Inputs!$B$60*(1-Inputs!$B$61),0)</f>
        <v>0</v>
      </c>
      <c r="I24" s="17">
        <f t="shared" si="0"/>
        <v>2.2227599363304709</v>
      </c>
      <c r="J24" s="17">
        <f>1/(1+Inputs!$B$59)^A24</f>
        <v>0.21224378136447922</v>
      </c>
      <c r="K24" s="17">
        <f t="shared" si="1"/>
        <v>0.4717669739522482</v>
      </c>
      <c r="L24" s="17">
        <f t="shared" si="2"/>
        <v>5.188531672443963</v>
      </c>
      <c r="M24" s="63"/>
    </row>
    <row r="25" spans="1:13" ht="93" customHeight="1" x14ac:dyDescent="0.25">
      <c r="A25" s="19">
        <v>20</v>
      </c>
      <c r="B25" s="17">
        <f>Operations!F25</f>
        <v>8.0856901303226003</v>
      </c>
      <c r="C25" s="17">
        <f>Operations!K25</f>
        <v>3.6282932454535377</v>
      </c>
      <c r="D25" s="17">
        <f>Operations!L25</f>
        <v>4.4573968848690626</v>
      </c>
      <c r="E25" s="17">
        <f>B25*Inputs!$B$52</f>
        <v>0.20214225325806501</v>
      </c>
      <c r="F25" s="17">
        <f>CAPEX!G25</f>
        <v>0.65</v>
      </c>
      <c r="G25" s="17">
        <f>MAX(0,(D25-E25)*Inputs!$B$53)</f>
        <v>1.1489187505349694</v>
      </c>
      <c r="H25" s="17">
        <f>IF(A25=20,D25*Inputs!$B$60*(1-Inputs!$B$61),0)</f>
        <v>60.620597634219251</v>
      </c>
      <c r="I25" s="17">
        <f t="shared" si="0"/>
        <v>63.076933515295281</v>
      </c>
      <c r="J25" s="17">
        <f>1/(1+Inputs!$B$59)^A25</f>
        <v>0.19561638835435877</v>
      </c>
      <c r="K25" s="17">
        <f t="shared" si="1"/>
        <v>12.338881922730071</v>
      </c>
      <c r="L25" s="17">
        <f t="shared" si="2"/>
        <v>68.265465187739238</v>
      </c>
      <c r="M25" s="63" t="s">
        <v>371</v>
      </c>
    </row>
    <row r="26" spans="1:13" ht="14.25" customHeight="1" x14ac:dyDescent="0.25">
      <c r="A26" s="19" t="s">
        <v>207</v>
      </c>
      <c r="B26" s="17">
        <f t="shared" ref="B26:I26" si="3">SUM(B5:B25)</f>
        <v>85.690796103630362</v>
      </c>
      <c r="C26" s="17">
        <f t="shared" si="3"/>
        <v>38.658296675669718</v>
      </c>
      <c r="D26" s="17">
        <f t="shared" si="3"/>
        <v>47.032499427960644</v>
      </c>
      <c r="E26" s="17">
        <f t="shared" si="3"/>
        <v>2.1422699025907592</v>
      </c>
      <c r="F26" s="17">
        <f t="shared" si="3"/>
        <v>25.125000000000011</v>
      </c>
      <c r="G26" s="17">
        <f t="shared" si="3"/>
        <v>12.120361971849869</v>
      </c>
      <c r="H26" s="17">
        <f t="shared" si="3"/>
        <v>60.620597634219251</v>
      </c>
      <c r="I26" s="17">
        <f t="shared" si="3"/>
        <v>68.265465187739238</v>
      </c>
      <c r="J26" s="17" t="s">
        <v>372</v>
      </c>
      <c r="K26" s="17">
        <f>SUM(K5:K25)</f>
        <v>9.3180688169888768</v>
      </c>
      <c r="L26" s="17">
        <f>L25</f>
        <v>68.265465187739238</v>
      </c>
      <c r="M26" s="17"/>
    </row>
    <row r="28" spans="1:13" ht="14.25" customHeight="1" x14ac:dyDescent="0.25">
      <c r="A28" s="55" t="s">
        <v>165</v>
      </c>
    </row>
  </sheetData>
  <mergeCells count="2">
    <mergeCell ref="A1:M1"/>
    <mergeCell ref="A2:M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0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4.25" customHeight="1" x14ac:dyDescent="0.25"/>
  <cols>
    <col min="1" max="12" width="10.7109375" customWidth="1"/>
    <col min="13" max="13" width="12.28515625" customWidth="1"/>
  </cols>
  <sheetData>
    <row r="1" spans="1:13" ht="21" customHeight="1" x14ac:dyDescent="0.35">
      <c r="A1" s="6" t="s">
        <v>373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4.25" customHeight="1" x14ac:dyDescent="0.25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ht="34.5" customHeight="1" x14ac:dyDescent="0.25">
      <c r="A4" s="61" t="s">
        <v>198</v>
      </c>
      <c r="B4" s="61" t="s">
        <v>335</v>
      </c>
      <c r="C4" s="61" t="s">
        <v>375</v>
      </c>
      <c r="D4" s="61" t="s">
        <v>376</v>
      </c>
      <c r="E4" s="61" t="s">
        <v>377</v>
      </c>
      <c r="F4" s="61" t="s">
        <v>378</v>
      </c>
      <c r="G4" s="61" t="s">
        <v>379</v>
      </c>
      <c r="H4" s="61" t="s">
        <v>380</v>
      </c>
      <c r="I4" s="61" t="s">
        <v>381</v>
      </c>
      <c r="J4" s="61" t="s">
        <v>382</v>
      </c>
      <c r="K4" s="61" t="s">
        <v>383</v>
      </c>
      <c r="L4" s="61" t="s">
        <v>384</v>
      </c>
      <c r="M4" s="61" t="s">
        <v>385</v>
      </c>
    </row>
    <row r="5" spans="1:13" ht="14.25" customHeight="1" x14ac:dyDescent="0.25">
      <c r="A5" s="19">
        <v>0</v>
      </c>
      <c r="B5" s="17">
        <f>CAPEX!G5</f>
        <v>0.125</v>
      </c>
      <c r="C5" s="17">
        <f>B5*Inputs!$B$55</f>
        <v>8.1250000000000003E-2</v>
      </c>
      <c r="D5" s="17">
        <f t="shared" ref="D5:D25" si="0">B5-C5</f>
        <v>4.3749999999999997E-2</v>
      </c>
      <c r="E5" s="17">
        <v>0</v>
      </c>
      <c r="F5" s="17">
        <f>E5*Inputs!$B$56</f>
        <v>0</v>
      </c>
      <c r="G5" s="17">
        <f>IF(AND(A5&gt;=Inputs!$B$75,A5&lt;=20),MIN(E5+C5,SUM($C$5:$C$25))/MAX(1,20-Inputs!$B$75+1),0)</f>
        <v>0</v>
      </c>
      <c r="H5" s="17">
        <f t="shared" ref="H5:H25" si="1">E5+C5-G5</f>
        <v>8.1250000000000003E-2</v>
      </c>
      <c r="I5" s="17">
        <f t="shared" ref="I5:I25" si="2">F5+G5</f>
        <v>0</v>
      </c>
      <c r="J5" s="17">
        <f>MAX(0,'Project Cash Flow'!D5-'Project Cash Flow'!E5-'Project Cash Flow'!G5)</f>
        <v>0</v>
      </c>
      <c r="K5" s="17" t="str">
        <f t="shared" ref="K5:K25" si="3">IF(I5&gt;0,J5/I5,"")</f>
        <v/>
      </c>
      <c r="L5" s="17">
        <f>-D5+MAX(0,'Project Cash Flow'!I5)</f>
        <v>-4.3749999999999997E-2</v>
      </c>
      <c r="M5" s="17">
        <f>L5</f>
        <v>-4.3749999999999997E-2</v>
      </c>
    </row>
    <row r="6" spans="1:13" ht="14.25" customHeight="1" x14ac:dyDescent="0.25">
      <c r="A6" s="19">
        <v>1</v>
      </c>
      <c r="B6" s="17">
        <f>CAPEX!G6</f>
        <v>2.4785714285714326</v>
      </c>
      <c r="C6" s="17">
        <f>B6*Inputs!$B$55</f>
        <v>1.6110714285714314</v>
      </c>
      <c r="D6" s="17">
        <f t="shared" si="0"/>
        <v>0.86750000000000127</v>
      </c>
      <c r="E6" s="17">
        <f t="shared" ref="E6:E25" si="4">H5</f>
        <v>8.1250000000000003E-2</v>
      </c>
      <c r="F6" s="17">
        <f>E6*Inputs!$B$56</f>
        <v>4.4687500000000005E-3</v>
      </c>
      <c r="G6" s="17">
        <f>IF(AND(A6&gt;=Inputs!$B$75,A6&lt;=20),MIN(E6+C6,SUM($C$5:$C$25))/MAX(1,20-Inputs!$B$75+1),0)</f>
        <v>0</v>
      </c>
      <c r="H6" s="17">
        <f t="shared" si="1"/>
        <v>1.6923214285714314</v>
      </c>
      <c r="I6" s="17">
        <f t="shared" si="2"/>
        <v>4.4687500000000005E-3</v>
      </c>
      <c r="J6" s="17">
        <f>MAX(0,'Project Cash Flow'!D6-'Project Cash Flow'!E6-'Project Cash Flow'!G6)</f>
        <v>0.71489639125000015</v>
      </c>
      <c r="K6" s="17">
        <f t="shared" si="3"/>
        <v>159.97681482517484</v>
      </c>
      <c r="L6" s="17">
        <f>-D6+MAX(0,'Project Cash Flow'!I6)</f>
        <v>-0.86750000000000127</v>
      </c>
      <c r="M6" s="17">
        <f t="shared" ref="M6:M25" si="5">M5+L6</f>
        <v>-0.91125000000000123</v>
      </c>
    </row>
    <row r="7" spans="1:13" ht="14.25" customHeight="1" x14ac:dyDescent="0.25">
      <c r="A7" s="19">
        <v>2</v>
      </c>
      <c r="B7" s="17">
        <f>CAPEX!G7</f>
        <v>2.4785714285714326</v>
      </c>
      <c r="C7" s="17">
        <f>B7*Inputs!$B$55</f>
        <v>1.6110714285714314</v>
      </c>
      <c r="D7" s="17">
        <f t="shared" si="0"/>
        <v>0.86750000000000127</v>
      </c>
      <c r="E7" s="17">
        <f t="shared" si="4"/>
        <v>1.6923214285714314</v>
      </c>
      <c r="F7" s="17">
        <f>E7*Inputs!$B$56</f>
        <v>9.3077678571428735E-2</v>
      </c>
      <c r="G7" s="17">
        <f>IF(AND(A7&gt;=Inputs!$B$75,A7&lt;=20),MIN(E7+C7,SUM($C$5:$C$25))/MAX(1,20-Inputs!$B$75+1),0)</f>
        <v>0</v>
      </c>
      <c r="H7" s="17">
        <f t="shared" si="1"/>
        <v>3.303392857142863</v>
      </c>
      <c r="I7" s="17">
        <f t="shared" si="2"/>
        <v>9.3077678571428735E-2</v>
      </c>
      <c r="J7" s="17">
        <f>MAX(0,'Project Cash Flow'!D7-'Project Cash Flow'!E7-'Project Cash Flow'!G7)</f>
        <v>0.77168823273125009</v>
      </c>
      <c r="K7" s="17">
        <f t="shared" si="3"/>
        <v>8.2907980148972982</v>
      </c>
      <c r="L7" s="17">
        <f>-D7+MAX(0,'Project Cash Flow'!I7)</f>
        <v>-0.86750000000000127</v>
      </c>
      <c r="M7" s="17">
        <f t="shared" si="5"/>
        <v>-1.7787500000000025</v>
      </c>
    </row>
    <row r="8" spans="1:13" ht="14.25" customHeight="1" x14ac:dyDescent="0.25">
      <c r="A8" s="19">
        <v>3</v>
      </c>
      <c r="B8" s="17">
        <f>CAPEX!G8</f>
        <v>2.4785714285714326</v>
      </c>
      <c r="C8" s="17">
        <f>B8*Inputs!$B$55</f>
        <v>1.6110714285714314</v>
      </c>
      <c r="D8" s="17">
        <f t="shared" si="0"/>
        <v>0.86750000000000127</v>
      </c>
      <c r="E8" s="17">
        <f t="shared" si="4"/>
        <v>3.303392857142863</v>
      </c>
      <c r="F8" s="17">
        <f>E8*Inputs!$B$56</f>
        <v>0.18168660714285748</v>
      </c>
      <c r="G8" s="17">
        <f>IF(AND(A8&gt;=Inputs!$B$75,A8&lt;=20),MIN(E8+C8,SUM($C$5:$C$25))/MAX(1,20-Inputs!$B$75+1),0)</f>
        <v>0</v>
      </c>
      <c r="H8" s="17">
        <f t="shared" si="1"/>
        <v>4.9144642857142946</v>
      </c>
      <c r="I8" s="17">
        <f t="shared" si="2"/>
        <v>0.18168660714285748</v>
      </c>
      <c r="J8" s="17">
        <f>MAX(0,'Project Cash Flow'!D8-'Project Cash Flow'!E8-'Project Cash Flow'!G8)</f>
        <v>0.83307477849556255</v>
      </c>
      <c r="K8" s="17">
        <f t="shared" si="3"/>
        <v>4.5852294321316061</v>
      </c>
      <c r="L8" s="17">
        <f>-D8+MAX(0,'Project Cash Flow'!I8)</f>
        <v>-0.86750000000000127</v>
      </c>
      <c r="M8" s="17">
        <f t="shared" si="5"/>
        <v>-2.6462500000000038</v>
      </c>
    </row>
    <row r="9" spans="1:13" ht="14.25" customHeight="1" x14ac:dyDescent="0.25">
      <c r="A9" s="19">
        <v>4</v>
      </c>
      <c r="B9" s="17">
        <f>CAPEX!G9</f>
        <v>2.4785714285714326</v>
      </c>
      <c r="C9" s="17">
        <f>B9*Inputs!$B$55</f>
        <v>1.6110714285714314</v>
      </c>
      <c r="D9" s="17">
        <f t="shared" si="0"/>
        <v>0.86750000000000127</v>
      </c>
      <c r="E9" s="17">
        <f t="shared" si="4"/>
        <v>4.9144642857142946</v>
      </c>
      <c r="F9" s="17">
        <f>E9*Inputs!$B$56</f>
        <v>0.27029553571428622</v>
      </c>
      <c r="G9" s="17">
        <f>IF(AND(A9&gt;=Inputs!$B$75,A9&lt;=20),MIN(E9+C9,SUM($C$5:$C$25))/MAX(1,20-Inputs!$B$75+1),0)</f>
        <v>0</v>
      </c>
      <c r="H9" s="17">
        <f t="shared" si="1"/>
        <v>6.5255357142857262</v>
      </c>
      <c r="I9" s="17">
        <f t="shared" si="2"/>
        <v>0.27029553571428622</v>
      </c>
      <c r="J9" s="17">
        <f>MAX(0,'Project Cash Flow'!D9-'Project Cash Flow'!E9-'Project Cash Flow'!G9)</f>
        <v>0.89943392481697093</v>
      </c>
      <c r="K9" s="17">
        <f t="shared" si="3"/>
        <v>3.3275944511629318</v>
      </c>
      <c r="L9" s="17">
        <f>-D9+MAX(0,'Project Cash Flow'!I9)</f>
        <v>-0.86750000000000127</v>
      </c>
      <c r="M9" s="17">
        <f t="shared" si="5"/>
        <v>-3.5137500000000053</v>
      </c>
    </row>
    <row r="10" spans="1:13" ht="14.25" customHeight="1" x14ac:dyDescent="0.25">
      <c r="A10" s="19">
        <v>5</v>
      </c>
      <c r="B10" s="17">
        <f>CAPEX!G10</f>
        <v>2.4785714285714326</v>
      </c>
      <c r="C10" s="17">
        <f>B10*Inputs!$B$55</f>
        <v>1.6110714285714314</v>
      </c>
      <c r="D10" s="17">
        <f t="shared" si="0"/>
        <v>0.86750000000000127</v>
      </c>
      <c r="E10" s="17">
        <f t="shared" si="4"/>
        <v>6.5255357142857262</v>
      </c>
      <c r="F10" s="17">
        <f>E10*Inputs!$B$56</f>
        <v>0.35890446428571493</v>
      </c>
      <c r="G10" s="17">
        <f>IF(AND(A10&gt;=Inputs!$B$75,A10&lt;=20),MIN(E10+C10,SUM($C$5:$C$25))/MAX(1,20-Inputs!$B$75+1),0)</f>
        <v>0</v>
      </c>
      <c r="H10" s="17">
        <f t="shared" si="1"/>
        <v>8.1366071428571569</v>
      </c>
      <c r="I10" s="17">
        <f t="shared" si="2"/>
        <v>0.35890446428571493</v>
      </c>
      <c r="J10" s="17">
        <f>MAX(0,'Project Cash Flow'!D10-'Project Cash Flow'!E10-'Project Cash Flow'!G10)</f>
        <v>0.97117510232980775</v>
      </c>
      <c r="K10" s="17">
        <f t="shared" si="3"/>
        <v>2.7059432215829986</v>
      </c>
      <c r="L10" s="17">
        <f>-D10+MAX(0,'Project Cash Flow'!I10)</f>
        <v>-0.86750000000000127</v>
      </c>
      <c r="M10" s="17">
        <f t="shared" si="5"/>
        <v>-4.3812500000000068</v>
      </c>
    </row>
    <row r="11" spans="1:13" ht="14.25" customHeight="1" x14ac:dyDescent="0.25">
      <c r="A11" s="19">
        <v>6</v>
      </c>
      <c r="B11" s="17">
        <f>CAPEX!G11</f>
        <v>2.0785714285714327</v>
      </c>
      <c r="C11" s="17">
        <f>B11*Inputs!$B$55</f>
        <v>1.3510714285714314</v>
      </c>
      <c r="D11" s="17">
        <f t="shared" si="0"/>
        <v>0.72750000000000137</v>
      </c>
      <c r="E11" s="17">
        <f t="shared" si="4"/>
        <v>8.1366071428571569</v>
      </c>
      <c r="F11" s="17">
        <f>E11*Inputs!$B$56</f>
        <v>0.44751339285714364</v>
      </c>
      <c r="G11" s="17">
        <f>IF(AND(A11&gt;=Inputs!$B$75,A11&lt;=20),MIN(E11+C11,SUM($C$5:$C$25))/MAX(1,20-Inputs!$B$75+1),0)</f>
        <v>0</v>
      </c>
      <c r="H11" s="17">
        <f t="shared" si="1"/>
        <v>9.4876785714285887</v>
      </c>
      <c r="I11" s="17">
        <f t="shared" si="2"/>
        <v>0.44751339285714364</v>
      </c>
      <c r="J11" s="17">
        <f>MAX(0,'Project Cash Flow'!D11-'Project Cash Flow'!E11-'Project Cash Flow'!G11)</f>
        <v>1.0487419406883971</v>
      </c>
      <c r="K11" s="17">
        <f t="shared" si="3"/>
        <v>2.3434872730684488</v>
      </c>
      <c r="L11" s="17">
        <f>-D11+MAX(0,'Project Cash Flow'!I11)</f>
        <v>-0.72750000000000137</v>
      </c>
      <c r="M11" s="17">
        <f t="shared" si="5"/>
        <v>-5.1087500000000077</v>
      </c>
    </row>
    <row r="12" spans="1:13" ht="14.25" customHeight="1" x14ac:dyDescent="0.25">
      <c r="A12" s="19">
        <v>7</v>
      </c>
      <c r="B12" s="17">
        <f>CAPEX!G12</f>
        <v>2.0785714285714327</v>
      </c>
      <c r="C12" s="17">
        <f>B12*Inputs!$B$55</f>
        <v>1.3510714285714314</v>
      </c>
      <c r="D12" s="17">
        <f t="shared" si="0"/>
        <v>0.72750000000000137</v>
      </c>
      <c r="E12" s="17">
        <f t="shared" si="4"/>
        <v>9.4876785714285887</v>
      </c>
      <c r="F12" s="17">
        <f>E12*Inputs!$B$56</f>
        <v>0.52182232142857243</v>
      </c>
      <c r="G12" s="17">
        <f>IF(AND(A12&gt;=Inputs!$B$75,A12&lt;=20),MIN(E12+C12,SUM($C$5:$C$25))/MAX(1,20-Inputs!$B$75+1),0)</f>
        <v>0</v>
      </c>
      <c r="H12" s="17">
        <f t="shared" si="1"/>
        <v>10.838750000000021</v>
      </c>
      <c r="I12" s="17">
        <f t="shared" si="2"/>
        <v>0.52182232142857243</v>
      </c>
      <c r="J12" s="17">
        <f>MAX(0,'Project Cash Flow'!D12-'Project Cash Flow'!E12-'Project Cash Flow'!G12)</f>
        <v>1.1326151608085757</v>
      </c>
      <c r="K12" s="17">
        <f t="shared" si="3"/>
        <v>2.1704996400074643</v>
      </c>
      <c r="L12" s="17">
        <f>-D12+MAX(0,'Project Cash Flow'!I12)</f>
        <v>-0.72750000000000137</v>
      </c>
      <c r="M12" s="17">
        <f t="shared" si="5"/>
        <v>-5.8362500000000086</v>
      </c>
    </row>
    <row r="13" spans="1:13" ht="14.25" customHeight="1" x14ac:dyDescent="0.25">
      <c r="A13" s="19">
        <v>8</v>
      </c>
      <c r="B13" s="17">
        <f>CAPEX!G13</f>
        <v>0.65</v>
      </c>
      <c r="C13" s="17">
        <f>B13*Inputs!$B$55</f>
        <v>0.42250000000000004</v>
      </c>
      <c r="D13" s="17">
        <f t="shared" si="0"/>
        <v>0.22749999999999998</v>
      </c>
      <c r="E13" s="17">
        <f t="shared" si="4"/>
        <v>10.838750000000021</v>
      </c>
      <c r="F13" s="17">
        <f>E13*Inputs!$B$56</f>
        <v>0.59613125000000111</v>
      </c>
      <c r="G13" s="17">
        <f>IF(AND(A13&gt;=Inputs!$B$75,A13&lt;=20),MIN(E13+C13,SUM($C$5:$C$25))/MAX(1,20-Inputs!$B$75+1),0)</f>
        <v>0.86625000000000152</v>
      </c>
      <c r="H13" s="17">
        <f t="shared" si="1"/>
        <v>10.395000000000019</v>
      </c>
      <c r="I13" s="17">
        <f t="shared" si="2"/>
        <v>1.4623812500000026</v>
      </c>
      <c r="J13" s="17">
        <f>MAX(0,'Project Cash Flow'!D13-'Project Cash Flow'!E13-'Project Cash Flow'!G13)</f>
        <v>1.2233157143036073</v>
      </c>
      <c r="K13" s="17">
        <f t="shared" si="3"/>
        <v>0.83652311208421548</v>
      </c>
      <c r="L13" s="17">
        <f>-D13+MAX(0,'Project Cash Flow'!I13)</f>
        <v>0.34581571430360741</v>
      </c>
      <c r="M13" s="17">
        <f t="shared" si="5"/>
        <v>-5.4904342856964012</v>
      </c>
    </row>
    <row r="14" spans="1:13" ht="14.25" customHeight="1" x14ac:dyDescent="0.25">
      <c r="A14" s="19">
        <v>9</v>
      </c>
      <c r="B14" s="17">
        <f>CAPEX!G14</f>
        <v>0.65</v>
      </c>
      <c r="C14" s="17">
        <f>B14*Inputs!$B$55</f>
        <v>0.42250000000000004</v>
      </c>
      <c r="D14" s="17">
        <f t="shared" si="0"/>
        <v>0.22749999999999998</v>
      </c>
      <c r="E14" s="17">
        <f t="shared" si="4"/>
        <v>10.395000000000019</v>
      </c>
      <c r="F14" s="17">
        <f>E14*Inputs!$B$56</f>
        <v>0.57172500000000104</v>
      </c>
      <c r="G14" s="17">
        <f>IF(AND(A14&gt;=Inputs!$B$75,A14&lt;=20),MIN(E14+C14,SUM($C$5:$C$25))/MAX(1,20-Inputs!$B$75+1),0)</f>
        <v>0.83211538461538603</v>
      </c>
      <c r="H14" s="17">
        <f t="shared" si="1"/>
        <v>9.985384615384632</v>
      </c>
      <c r="I14" s="17">
        <f t="shared" si="2"/>
        <v>1.4038403846153871</v>
      </c>
      <c r="J14" s="17">
        <f>MAX(0,'Project Cash Flow'!D14-'Project Cash Flow'!E14-'Project Cash Flow'!G14)</f>
        <v>1.3214081914299205</v>
      </c>
      <c r="K14" s="17">
        <f t="shared" si="3"/>
        <v>0.94128093614570674</v>
      </c>
      <c r="L14" s="17">
        <f>-D14+MAX(0,'Project Cash Flow'!I14)</f>
        <v>0.44390819142992061</v>
      </c>
      <c r="M14" s="17">
        <f t="shared" si="5"/>
        <v>-5.0465260942664809</v>
      </c>
    </row>
    <row r="15" spans="1:13" ht="14.25" customHeight="1" x14ac:dyDescent="0.25">
      <c r="A15" s="19">
        <v>10</v>
      </c>
      <c r="B15" s="17">
        <f>CAPEX!G15</f>
        <v>0.65</v>
      </c>
      <c r="C15" s="17">
        <f>B15*Inputs!$B$55</f>
        <v>0.42250000000000004</v>
      </c>
      <c r="D15" s="17">
        <f t="shared" si="0"/>
        <v>0.22749999999999998</v>
      </c>
      <c r="E15" s="17">
        <f t="shared" si="4"/>
        <v>9.985384615384632</v>
      </c>
      <c r="F15" s="17">
        <f>E15*Inputs!$B$56</f>
        <v>0.54919615384615472</v>
      </c>
      <c r="G15" s="17">
        <f>IF(AND(A15&gt;=Inputs!$B$75,A15&lt;=20),MIN(E15+C15,SUM($C$5:$C$25))/MAX(1,20-Inputs!$B$75+1),0)</f>
        <v>0.80060650887574092</v>
      </c>
      <c r="H15" s="17">
        <f t="shared" si="1"/>
        <v>9.6072781065088897</v>
      </c>
      <c r="I15" s="17">
        <f t="shared" si="2"/>
        <v>1.3498026627218955</v>
      </c>
      <c r="J15" s="17">
        <f>MAX(0,'Project Cash Flow'!D15-'Project Cash Flow'!E15-'Project Cash Flow'!G15)</f>
        <v>1.4275045207097257</v>
      </c>
      <c r="K15" s="17">
        <f t="shared" si="3"/>
        <v>1.0575653465012014</v>
      </c>
      <c r="L15" s="17">
        <f>-D15+MAX(0,'Project Cash Flow'!I15)</f>
        <v>0.55000452070972572</v>
      </c>
      <c r="M15" s="17">
        <f t="shared" si="5"/>
        <v>-4.4965215735567554</v>
      </c>
    </row>
    <row r="16" spans="1:13" ht="14.25" customHeight="1" x14ac:dyDescent="0.25">
      <c r="A16" s="19">
        <v>11</v>
      </c>
      <c r="B16" s="17">
        <f>CAPEX!G16</f>
        <v>0.65</v>
      </c>
      <c r="C16" s="17">
        <f>B16*Inputs!$B$55</f>
        <v>0.42250000000000004</v>
      </c>
      <c r="D16" s="17">
        <f t="shared" si="0"/>
        <v>0.22749999999999998</v>
      </c>
      <c r="E16" s="17">
        <f t="shared" si="4"/>
        <v>9.6072781065088897</v>
      </c>
      <c r="F16" s="17">
        <f>E16*Inputs!$B$56</f>
        <v>0.52840029585798898</v>
      </c>
      <c r="G16" s="17">
        <f>IF(AND(A16&gt;=Inputs!$B$75,A16&lt;=20),MIN(E16+C16,SUM($C$5:$C$25))/MAX(1,20-Inputs!$B$75+1),0)</f>
        <v>0.77152139280837606</v>
      </c>
      <c r="H16" s="17">
        <f t="shared" si="1"/>
        <v>9.2582567137005132</v>
      </c>
      <c r="I16" s="17">
        <f t="shared" si="2"/>
        <v>1.2999216886663651</v>
      </c>
      <c r="J16" s="17">
        <f>MAX(0,'Project Cash Flow'!D16-'Project Cash Flow'!E16-'Project Cash Flow'!G16)</f>
        <v>1.5422679854110535</v>
      </c>
      <c r="K16" s="17">
        <f t="shared" si="3"/>
        <v>1.1864314588006604</v>
      </c>
      <c r="L16" s="17">
        <f>-D16+MAX(0,'Project Cash Flow'!I16)</f>
        <v>0.66476798541105353</v>
      </c>
      <c r="M16" s="17">
        <f t="shared" si="5"/>
        <v>-3.8317535881457019</v>
      </c>
    </row>
    <row r="17" spans="1:13" ht="14.25" customHeight="1" x14ac:dyDescent="0.25">
      <c r="A17" s="19">
        <v>12</v>
      </c>
      <c r="B17" s="17">
        <f>CAPEX!G17</f>
        <v>0.65</v>
      </c>
      <c r="C17" s="17">
        <f>B17*Inputs!$B$55</f>
        <v>0.42250000000000004</v>
      </c>
      <c r="D17" s="17">
        <f t="shared" si="0"/>
        <v>0.22749999999999998</v>
      </c>
      <c r="E17" s="17">
        <f t="shared" si="4"/>
        <v>9.2582567137005132</v>
      </c>
      <c r="F17" s="17">
        <f>E17*Inputs!$B$56</f>
        <v>0.50920411925352826</v>
      </c>
      <c r="G17" s="17">
        <f>IF(AND(A17&gt;=Inputs!$B$75,A17&lt;=20),MIN(E17+C17,SUM($C$5:$C$25))/MAX(1,20-Inputs!$B$75+1),0)</f>
        <v>0.7446735933615779</v>
      </c>
      <c r="H17" s="17">
        <f t="shared" si="1"/>
        <v>8.9360831203389353</v>
      </c>
      <c r="I17" s="17">
        <f t="shared" si="2"/>
        <v>1.2538777126151062</v>
      </c>
      <c r="J17" s="17">
        <f>MAX(0,'Project Cash Flow'!D17-'Project Cash Flow'!E17-'Project Cash Flow'!G17)</f>
        <v>1.6664175842552558</v>
      </c>
      <c r="K17" s="17">
        <f t="shared" si="3"/>
        <v>1.3290112484571963</v>
      </c>
      <c r="L17" s="17">
        <f>-D17+MAX(0,'Project Cash Flow'!I17)</f>
        <v>0.78891758425525582</v>
      </c>
      <c r="M17" s="17">
        <f t="shared" si="5"/>
        <v>-3.0428360038904461</v>
      </c>
    </row>
    <row r="18" spans="1:13" ht="14.25" customHeight="1" x14ac:dyDescent="0.25">
      <c r="A18" s="19">
        <v>13</v>
      </c>
      <c r="B18" s="17">
        <f>CAPEX!G18</f>
        <v>0.65</v>
      </c>
      <c r="C18" s="17">
        <f>B18*Inputs!$B$55</f>
        <v>0.42250000000000004</v>
      </c>
      <c r="D18" s="17">
        <f t="shared" si="0"/>
        <v>0.22749999999999998</v>
      </c>
      <c r="E18" s="17">
        <f t="shared" si="4"/>
        <v>8.9360831203389353</v>
      </c>
      <c r="F18" s="17">
        <f>E18*Inputs!$B$56</f>
        <v>0.49148457161864145</v>
      </c>
      <c r="G18" s="17">
        <f>IF(AND(A18&gt;=Inputs!$B$75,A18&lt;=20),MIN(E18+C18,SUM($C$5:$C$25))/MAX(1,20-Inputs!$B$75+1),0)</f>
        <v>0.71989100925684113</v>
      </c>
      <c r="H18" s="17">
        <f t="shared" si="1"/>
        <v>8.6386921110820936</v>
      </c>
      <c r="I18" s="17">
        <f t="shared" si="2"/>
        <v>1.2113755808754827</v>
      </c>
      <c r="J18" s="17">
        <f>MAX(0,'Project Cash Flow'!D18-'Project Cash Flow'!E18-'Project Cash Flow'!G18)</f>
        <v>1.8007327661030774</v>
      </c>
      <c r="K18" s="17">
        <f t="shared" si="3"/>
        <v>1.4865189578954991</v>
      </c>
      <c r="L18" s="17">
        <f>-D18+MAX(0,'Project Cash Flow'!I18)</f>
        <v>0.92323276610307747</v>
      </c>
      <c r="M18" s="17">
        <f t="shared" si="5"/>
        <v>-2.1196032377873686</v>
      </c>
    </row>
    <row r="19" spans="1:13" ht="14.25" customHeight="1" x14ac:dyDescent="0.25">
      <c r="A19" s="19">
        <v>14</v>
      </c>
      <c r="B19" s="17">
        <f>CAPEX!G19</f>
        <v>0.65</v>
      </c>
      <c r="C19" s="17">
        <f>B19*Inputs!$B$55</f>
        <v>0.42250000000000004</v>
      </c>
      <c r="D19" s="17">
        <f t="shared" si="0"/>
        <v>0.22749999999999998</v>
      </c>
      <c r="E19" s="17">
        <f t="shared" si="4"/>
        <v>8.6386921110820936</v>
      </c>
      <c r="F19" s="17">
        <f>E19*Inputs!$B$56</f>
        <v>0.47512806610951513</v>
      </c>
      <c r="G19" s="17">
        <f>IF(AND(A19&gt;=Inputs!$B$75,A19&lt;=20),MIN(E19+C19,SUM($C$5:$C$25))/MAX(1,20-Inputs!$B$75+1),0)</f>
        <v>0.69701477777554566</v>
      </c>
      <c r="H19" s="17">
        <f t="shared" si="1"/>
        <v>8.3641773333065466</v>
      </c>
      <c r="I19" s="17">
        <f t="shared" si="2"/>
        <v>1.1721428438850607</v>
      </c>
      <c r="J19" s="17">
        <f>MAX(0,'Project Cash Flow'!D19-'Project Cash Flow'!E19-'Project Cash Flow'!G19)</f>
        <v>1.9460585709597487</v>
      </c>
      <c r="K19" s="17">
        <f t="shared" si="3"/>
        <v>1.6602571786468863</v>
      </c>
      <c r="L19" s="17">
        <f>-D19+MAX(0,'Project Cash Flow'!I19)</f>
        <v>1.0685585709597487</v>
      </c>
      <c r="M19" s="17">
        <f t="shared" si="5"/>
        <v>-1.0510446668276199</v>
      </c>
    </row>
    <row r="20" spans="1:13" ht="14.25" customHeight="1" x14ac:dyDescent="0.25">
      <c r="A20" s="19">
        <v>15</v>
      </c>
      <c r="B20">
        <f>CAPEX!G20</f>
        <v>0.65</v>
      </c>
      <c r="C20">
        <f>B20*Inputs!$B$55</f>
        <v>0.42250000000000004</v>
      </c>
      <c r="D20">
        <f t="shared" si="0"/>
        <v>0.22749999999999998</v>
      </c>
      <c r="E20">
        <f t="shared" si="4"/>
        <v>8.3641773333065466</v>
      </c>
      <c r="F20">
        <f>E20*Inputs!$B$56</f>
        <v>0.46002975333186008</v>
      </c>
      <c r="G20">
        <f>IF(AND(A20&gt;=Inputs!$B$75,A20&lt;=20),MIN(E20+C20,SUM($C$5:$C$25))/MAX(1,20-Inputs!$B$75+1),0)</f>
        <v>0.6758982564081959</v>
      </c>
      <c r="H20">
        <f t="shared" si="1"/>
        <v>8.1107790768983499</v>
      </c>
      <c r="I20" s="17">
        <f t="shared" si="2"/>
        <v>1.1359280097400559</v>
      </c>
      <c r="J20" s="17">
        <f>MAX(0,'Project Cash Flow'!D20-'Project Cash Flow'!E20-'Project Cash Flow'!G20)</f>
        <v>2.1033112124556603</v>
      </c>
      <c r="K20" s="17">
        <f t="shared" si="3"/>
        <v>1.8516236895478781</v>
      </c>
      <c r="L20" s="17">
        <f>-D20+MAX(0,'Project Cash Flow'!I20)</f>
        <v>1.2258112124556604</v>
      </c>
      <c r="M20" s="17">
        <f t="shared" si="5"/>
        <v>0.1747665456280405</v>
      </c>
    </row>
    <row r="21" spans="1:13" ht="14.25" customHeight="1" x14ac:dyDescent="0.25">
      <c r="A21" s="19">
        <v>16</v>
      </c>
      <c r="B21" s="17">
        <f>CAPEX!G21</f>
        <v>0.65</v>
      </c>
      <c r="C21" s="17">
        <f>B21*Inputs!$B$55</f>
        <v>0.42250000000000004</v>
      </c>
      <c r="D21" s="17">
        <f t="shared" si="0"/>
        <v>0.22749999999999998</v>
      </c>
      <c r="E21" s="17">
        <f t="shared" si="4"/>
        <v>8.1107790768983499</v>
      </c>
      <c r="F21" s="17">
        <f>E21*Inputs!$B$56</f>
        <v>0.44609284922940923</v>
      </c>
      <c r="G21" s="17">
        <f>IF(AND(A21&gt;=Inputs!$B$75,A21&lt;=20),MIN(E21+C21,SUM($C$5:$C$25))/MAX(1,20-Inputs!$B$75+1),0)</f>
        <v>0.65640608283833457</v>
      </c>
      <c r="H21" s="17">
        <f t="shared" si="1"/>
        <v>7.8768729940600144</v>
      </c>
      <c r="I21" s="17">
        <f t="shared" si="2"/>
        <v>1.1024989320677439</v>
      </c>
      <c r="J21" s="17">
        <f>MAX(0,'Project Cash Flow'!D21-'Project Cash Flow'!E21-'Project Cash Flow'!G21)</f>
        <v>2.2734841400218273</v>
      </c>
      <c r="K21" s="17">
        <f t="shared" si="3"/>
        <v>2.0621191312701712</v>
      </c>
      <c r="L21" s="17">
        <f>-D21+MAX(0,'Project Cash Flow'!I21)</f>
        <v>1.3959841400218274</v>
      </c>
      <c r="M21" s="17">
        <f t="shared" si="5"/>
        <v>1.5707506856498679</v>
      </c>
    </row>
    <row r="22" spans="1:13" ht="14.25" customHeight="1" x14ac:dyDescent="0.25">
      <c r="A22" s="19">
        <v>17</v>
      </c>
      <c r="B22" s="17">
        <f>CAPEX!G22</f>
        <v>0.65</v>
      </c>
      <c r="C22" s="17">
        <f>B22*Inputs!$B$55</f>
        <v>0.42250000000000004</v>
      </c>
      <c r="D22" s="17">
        <f t="shared" si="0"/>
        <v>0.22749999999999998</v>
      </c>
      <c r="E22" s="17">
        <f t="shared" si="4"/>
        <v>7.8768729940600144</v>
      </c>
      <c r="F22" s="17">
        <f>E22*Inputs!$B$56</f>
        <v>0.4332280146733008</v>
      </c>
      <c r="G22" s="17">
        <f>IF(AND(A22&gt;=Inputs!$B$75,A22&lt;=20),MIN(E22+C22,SUM($C$5:$C$25))/MAX(1,20-Inputs!$B$75+1),0)</f>
        <v>0.6384133072353857</v>
      </c>
      <c r="H22" s="17">
        <f t="shared" si="1"/>
        <v>7.6609596868246292</v>
      </c>
      <c r="I22" s="17">
        <f t="shared" si="2"/>
        <v>1.0716413219086864</v>
      </c>
      <c r="J22" s="17">
        <f>MAX(0,'Project Cash Flow'!D22-'Project Cash Flow'!E22-'Project Cash Flow'!G22)</f>
        <v>2.4576546223103191</v>
      </c>
      <c r="K22" s="17">
        <f t="shared" si="3"/>
        <v>2.2933555958191518</v>
      </c>
      <c r="L22" s="17">
        <f>-D22+MAX(0,'Project Cash Flow'!I22)</f>
        <v>1.5801546223103191</v>
      </c>
      <c r="M22" s="17">
        <f t="shared" si="5"/>
        <v>3.150905307960187</v>
      </c>
    </row>
    <row r="23" spans="1:13" ht="14.25" customHeight="1" x14ac:dyDescent="0.25">
      <c r="A23" s="19">
        <v>18</v>
      </c>
      <c r="B23" s="17">
        <f>CAPEX!G23</f>
        <v>0.65</v>
      </c>
      <c r="C23" s="17">
        <f>B23*Inputs!$B$55</f>
        <v>0.42250000000000004</v>
      </c>
      <c r="D23" s="17">
        <f t="shared" si="0"/>
        <v>0.22749999999999998</v>
      </c>
      <c r="E23" s="17">
        <f t="shared" si="4"/>
        <v>7.6609596868246292</v>
      </c>
      <c r="F23" s="17">
        <f>E23*Inputs!$B$56</f>
        <v>0.4213527827753546</v>
      </c>
      <c r="G23" s="17">
        <f>IF(AND(A23&gt;=Inputs!$B$75,A23&lt;=20),MIN(E23+C23,SUM($C$5:$C$25))/MAX(1,20-Inputs!$B$75+1),0)</f>
        <v>0.62180459129420218</v>
      </c>
      <c r="H23" s="17">
        <f t="shared" si="1"/>
        <v>7.4616550955304266</v>
      </c>
      <c r="I23" s="17">
        <f t="shared" si="2"/>
        <v>1.0431573740695568</v>
      </c>
      <c r="J23" s="17">
        <f>MAX(0,'Project Cash Flow'!D23-'Project Cash Flow'!E23-'Project Cash Flow'!G23)</f>
        <v>2.6569908970327574</v>
      </c>
      <c r="K23" s="17">
        <f t="shared" si="3"/>
        <v>2.5470662079177249</v>
      </c>
      <c r="L23" s="17">
        <f>-D23+MAX(0,'Project Cash Flow'!I23)</f>
        <v>1.7794908970327574</v>
      </c>
      <c r="M23" s="17">
        <f t="shared" si="5"/>
        <v>4.9303962049929444</v>
      </c>
    </row>
    <row r="24" spans="1:13" ht="14.25" customHeight="1" x14ac:dyDescent="0.25">
      <c r="A24" s="19">
        <v>19</v>
      </c>
      <c r="B24" s="17">
        <f>CAPEX!G24</f>
        <v>0.65</v>
      </c>
      <c r="C24" s="17">
        <f>B24*Inputs!$B$55</f>
        <v>0.42250000000000004</v>
      </c>
      <c r="D24" s="17">
        <f t="shared" si="0"/>
        <v>0.22749999999999998</v>
      </c>
      <c r="E24" s="17">
        <f t="shared" si="4"/>
        <v>7.4616550955304266</v>
      </c>
      <c r="F24" s="17">
        <f>E24*Inputs!$B$56</f>
        <v>0.41039103025417345</v>
      </c>
      <c r="G24" s="17">
        <f>IF(AND(A24&gt;=Inputs!$B$75,A24&lt;=20),MIN(E24+C24,SUM($C$5:$C$25))/MAX(1,20-Inputs!$B$75+1),0)</f>
        <v>0.60647346888695597</v>
      </c>
      <c r="H24" s="17">
        <f t="shared" si="1"/>
        <v>7.2776816266434707</v>
      </c>
      <c r="I24" s="17">
        <f t="shared" si="2"/>
        <v>1.0168644991411293</v>
      </c>
      <c r="J24" s="17">
        <f>MAX(0,'Project Cash Flow'!D24-'Project Cash Flow'!E24-'Project Cash Flow'!G24)</f>
        <v>2.8727599363304703</v>
      </c>
      <c r="K24" s="17">
        <f t="shared" si="3"/>
        <v>2.8251157737898014</v>
      </c>
      <c r="L24" s="17">
        <f>-D24+MAX(0,'Project Cash Flow'!I24)</f>
        <v>1.9952599363304708</v>
      </c>
      <c r="M24" s="17">
        <f t="shared" si="5"/>
        <v>6.9256561413234152</v>
      </c>
    </row>
    <row r="25" spans="1:13" ht="14.25" customHeight="1" x14ac:dyDescent="0.25">
      <c r="A25" s="19">
        <v>20</v>
      </c>
      <c r="B25" s="17">
        <f>CAPEX!G25</f>
        <v>0.65</v>
      </c>
      <c r="C25" s="17">
        <f>B25*Inputs!$B$55</f>
        <v>0.42250000000000004</v>
      </c>
      <c r="D25" s="17">
        <f t="shared" si="0"/>
        <v>0.22749999999999998</v>
      </c>
      <c r="E25" s="17">
        <f t="shared" si="4"/>
        <v>7.2776816266434707</v>
      </c>
      <c r="F25" s="17">
        <f>E25*Inputs!$B$56</f>
        <v>0.4002724894653909</v>
      </c>
      <c r="G25" s="17">
        <f>IF(AND(A25&gt;=Inputs!$B$75,A25&lt;=20),MIN(E25+C25,SUM($C$5:$C$25))/MAX(1,20-Inputs!$B$75+1),0)</f>
        <v>0.59232166358795935</v>
      </c>
      <c r="H25" s="17">
        <f t="shared" si="1"/>
        <v>7.1078599630555122</v>
      </c>
      <c r="I25" s="17">
        <f t="shared" si="2"/>
        <v>0.99259415305335019</v>
      </c>
      <c r="J25" s="17">
        <f>MAX(0,'Project Cash Flow'!D25-'Project Cash Flow'!E25-'Project Cash Flow'!G25)</f>
        <v>3.1063358810760278</v>
      </c>
      <c r="K25" s="17">
        <f t="shared" si="3"/>
        <v>3.1295125722033825</v>
      </c>
      <c r="L25" s="17">
        <f>-D25+MAX(0,'Project Cash Flow'!I25)</f>
        <v>62.849433515295281</v>
      </c>
      <c r="M25" s="17">
        <f t="shared" si="5"/>
        <v>69.77508965661869</v>
      </c>
    </row>
    <row r="26" spans="1:13" ht="14.25" customHeight="1" x14ac:dyDescent="0.25">
      <c r="A26" s="19" t="s">
        <v>386</v>
      </c>
      <c r="B26" s="17">
        <f t="shared" ref="B26:G26" si="6">SUM(B5:B25)</f>
        <v>25.125000000000011</v>
      </c>
      <c r="C26" s="17">
        <f t="shared" si="6"/>
        <v>16.331250000000015</v>
      </c>
      <c r="D26" s="17">
        <f t="shared" si="6"/>
        <v>8.7937500000000064</v>
      </c>
      <c r="E26" s="17">
        <f t="shared" si="6"/>
        <v>148.5528204802786</v>
      </c>
      <c r="F26" s="17">
        <f t="shared" si="6"/>
        <v>8.1704051264153232</v>
      </c>
      <c r="G26" s="17">
        <f t="shared" si="6"/>
        <v>9.2233900369445028</v>
      </c>
      <c r="H26" s="17">
        <f>H25</f>
        <v>7.1078599630555122</v>
      </c>
      <c r="I26" s="17">
        <f>SUM(I5:I25)</f>
        <v>17.393795163359826</v>
      </c>
      <c r="J26" s="17">
        <f>SUM(J5:J25)</f>
        <v>32.769867553520015</v>
      </c>
      <c r="K26" s="17">
        <f>MIN(K5:K25)</f>
        <v>0.83652311208421548</v>
      </c>
      <c r="L26" s="17">
        <f>SUM(L5:L25)</f>
        <v>69.77508965661869</v>
      </c>
      <c r="M26" s="17">
        <f>M25</f>
        <v>69.77508965661869</v>
      </c>
    </row>
    <row r="28" spans="1:13" ht="162" customHeight="1" x14ac:dyDescent="0.25">
      <c r="A28" s="72" t="s">
        <v>165</v>
      </c>
    </row>
    <row r="30" spans="1:13" ht="14.25" customHeight="1" x14ac:dyDescent="0.25">
      <c r="A30" s="55" t="s">
        <v>165</v>
      </c>
    </row>
  </sheetData>
  <mergeCells count="2">
    <mergeCell ref="A1:M1"/>
    <mergeCell ref="A2:M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40"/>
  <sheetViews>
    <sheetView showGridLines="0" zoomScale="85" zoomScaleNormal="85" workbookViewId="0"/>
  </sheetViews>
  <sheetFormatPr defaultColWidth="8.7109375" defaultRowHeight="14.25" customHeight="1" x14ac:dyDescent="0.25"/>
  <cols>
    <col min="1" max="1" width="24.42578125" customWidth="1"/>
    <col min="2" max="2" width="14.28515625" customWidth="1"/>
    <col min="3" max="3" width="9.5703125" customWidth="1"/>
    <col min="4" max="4" width="15.7109375" customWidth="1"/>
    <col min="5" max="5" width="14.5703125" customWidth="1"/>
    <col min="6" max="6" width="35.5703125" customWidth="1"/>
  </cols>
  <sheetData>
    <row r="1" spans="1:6" ht="21" customHeight="1" x14ac:dyDescent="0.35">
      <c r="A1" s="6" t="s">
        <v>387</v>
      </c>
      <c r="B1" s="6"/>
      <c r="C1" s="6"/>
      <c r="D1" s="6"/>
      <c r="E1" s="6"/>
      <c r="F1" s="6"/>
    </row>
    <row r="2" spans="1:6" ht="30" customHeight="1" x14ac:dyDescent="0.25">
      <c r="A2" s="2" t="s">
        <v>388</v>
      </c>
      <c r="B2" s="2"/>
      <c r="C2" s="2"/>
      <c r="D2" s="2"/>
      <c r="E2" s="2"/>
      <c r="F2" s="2"/>
    </row>
    <row r="4" spans="1:6" ht="29.25" customHeight="1" x14ac:dyDescent="0.25">
      <c r="A4" s="61" t="s">
        <v>65</v>
      </c>
      <c r="B4" s="61" t="s">
        <v>211</v>
      </c>
      <c r="C4" s="61" t="s">
        <v>212</v>
      </c>
      <c r="D4" s="61" t="s">
        <v>389</v>
      </c>
      <c r="E4" s="61" t="s">
        <v>390</v>
      </c>
      <c r="F4" s="61" t="s">
        <v>67</v>
      </c>
    </row>
    <row r="5" spans="1:6" ht="14.25" customHeight="1" x14ac:dyDescent="0.25">
      <c r="A5" s="18" t="s">
        <v>3</v>
      </c>
      <c r="B5" s="73">
        <f>SUM(CAPEX!C18:F18)</f>
        <v>0.65</v>
      </c>
      <c r="C5" s="18" t="s">
        <v>4</v>
      </c>
      <c r="D5" s="18"/>
      <c r="E5" s="18">
        <v>25</v>
      </c>
      <c r="F5" s="18" t="s">
        <v>186</v>
      </c>
    </row>
    <row r="6" spans="1:6" ht="14.25" customHeight="1" x14ac:dyDescent="0.25">
      <c r="A6" s="18" t="s">
        <v>171</v>
      </c>
      <c r="B6" s="73">
        <f>SUM(CAPEX!G5:G17)</f>
        <v>19.925000000000022</v>
      </c>
      <c r="C6" s="18" t="s">
        <v>4</v>
      </c>
      <c r="D6" s="18"/>
      <c r="E6" s="18">
        <v>25.125</v>
      </c>
      <c r="F6" s="18" t="s">
        <v>391</v>
      </c>
    </row>
    <row r="7" spans="1:6" ht="14.25" customHeight="1" x14ac:dyDescent="0.25">
      <c r="A7" s="18" t="s">
        <v>16</v>
      </c>
      <c r="B7" s="73">
        <f>'Bankability Summary'!C10</f>
        <v>85.690796103630362</v>
      </c>
      <c r="C7" s="18" t="s">
        <v>4</v>
      </c>
      <c r="D7" s="18"/>
      <c r="E7" s="18"/>
      <c r="F7" s="18" t="s">
        <v>277</v>
      </c>
    </row>
    <row r="8" spans="1:6" ht="14.25" customHeight="1" x14ac:dyDescent="0.25">
      <c r="A8" s="18" t="s">
        <v>18</v>
      </c>
      <c r="B8" s="73">
        <f>'Bankability Summary'!C11</f>
        <v>47.032499427960644</v>
      </c>
      <c r="C8" s="18" t="s">
        <v>4</v>
      </c>
      <c r="D8" s="18"/>
      <c r="E8" s="18"/>
      <c r="F8" s="18" t="s">
        <v>277</v>
      </c>
    </row>
    <row r="9" spans="1:6" ht="14.25" customHeight="1" x14ac:dyDescent="0.25">
      <c r="A9" s="18" t="s">
        <v>392</v>
      </c>
      <c r="B9" s="73">
        <f>'Bankability Summary'!C23</f>
        <v>60.620597634219251</v>
      </c>
      <c r="C9" s="18" t="s">
        <v>4</v>
      </c>
      <c r="D9" s="18"/>
      <c r="E9" s="18" t="s">
        <v>393</v>
      </c>
      <c r="F9" s="18" t="s">
        <v>394</v>
      </c>
    </row>
    <row r="10" spans="1:6" ht="14.25" customHeight="1" x14ac:dyDescent="0.25">
      <c r="A10" s="18" t="s">
        <v>395</v>
      </c>
      <c r="B10" s="73">
        <f>'Bankability Summary'!C22</f>
        <v>9.4025840145015032</v>
      </c>
      <c r="C10" s="18" t="s">
        <v>4</v>
      </c>
      <c r="D10" s="18"/>
      <c r="E10" s="73">
        <f>SUM('Project Cash Flow'!K5:K17)-'Project Cash Flow'!K17</f>
        <v>-6.4679742723893039</v>
      </c>
      <c r="F10" s="18" t="s">
        <v>277</v>
      </c>
    </row>
    <row r="11" spans="1:6" ht="42" customHeight="1" x14ac:dyDescent="0.25">
      <c r="A11" s="18" t="s">
        <v>396</v>
      </c>
      <c r="B11" s="73">
        <f>'Bankability Summary'!C24</f>
        <v>8.1925689898464533</v>
      </c>
      <c r="C11" s="18" t="s">
        <v>4</v>
      </c>
      <c r="D11" s="18"/>
      <c r="E11" s="18"/>
      <c r="F11" s="18" t="s">
        <v>397</v>
      </c>
    </row>
    <row r="12" spans="1:6" ht="32.25" customHeight="1" x14ac:dyDescent="0.25">
      <c r="A12" s="18" t="s">
        <v>30</v>
      </c>
      <c r="B12" s="73">
        <f>'Bankability Summary'!C16</f>
        <v>0.6998743177311203</v>
      </c>
      <c r="C12" s="18" t="s">
        <v>28</v>
      </c>
      <c r="D12" s="18"/>
      <c r="E12" s="18"/>
      <c r="F12" s="62" t="s">
        <v>398</v>
      </c>
    </row>
    <row r="14" spans="1:6" ht="63" customHeight="1" x14ac:dyDescent="0.25">
      <c r="A14" t="s">
        <v>399</v>
      </c>
      <c r="B14" s="69">
        <f>'Bankability Summary'!C20</f>
        <v>0.14522166791157098</v>
      </c>
      <c r="C14" t="s">
        <v>37</v>
      </c>
      <c r="E14" t="s">
        <v>118</v>
      </c>
      <c r="F14" s="32" t="s">
        <v>400</v>
      </c>
    </row>
    <row r="15" spans="1:6" ht="51.75" customHeight="1" x14ac:dyDescent="0.25">
      <c r="A15" t="s">
        <v>401</v>
      </c>
      <c r="B15" s="69">
        <f>IRR(B19:B39)</f>
        <v>4.8169799422266291E-2</v>
      </c>
      <c r="C15" t="s">
        <v>37</v>
      </c>
      <c r="E15" t="s">
        <v>402</v>
      </c>
      <c r="F15" s="32" t="s">
        <v>403</v>
      </c>
    </row>
    <row r="17" spans="1:6" ht="14.25" customHeight="1" x14ac:dyDescent="0.25">
      <c r="A17" s="1" t="s">
        <v>404</v>
      </c>
      <c r="B17" s="1"/>
      <c r="C17" s="1"/>
      <c r="D17" s="1"/>
      <c r="E17" s="1"/>
      <c r="F17" s="1"/>
    </row>
    <row r="18" spans="1:6" ht="28.5" customHeight="1" x14ac:dyDescent="0.25">
      <c r="A18" s="61" t="s">
        <v>198</v>
      </c>
      <c r="B18" s="61" t="s">
        <v>405</v>
      </c>
    </row>
    <row r="19" spans="1:6" ht="14.25" customHeight="1" x14ac:dyDescent="0.25">
      <c r="A19">
        <v>0</v>
      </c>
      <c r="B19" s="59">
        <f>'Project Cash Flow'!I5-'Project Cash Flow'!H5</f>
        <v>-0.125</v>
      </c>
    </row>
    <row r="20" spans="1:6" ht="14.25" customHeight="1" x14ac:dyDescent="0.25">
      <c r="A20">
        <v>1</v>
      </c>
      <c r="B20" s="59">
        <f>'Project Cash Flow'!I6-'Project Cash Flow'!H6</f>
        <v>-1.7636750373214325</v>
      </c>
    </row>
    <row r="21" spans="1:6" ht="14.25" customHeight="1" x14ac:dyDescent="0.25">
      <c r="A21">
        <v>2</v>
      </c>
      <c r="B21" s="59">
        <f>'Project Cash Flow'!I7-'Project Cash Flow'!H7</f>
        <v>-1.7068831958401827</v>
      </c>
    </row>
    <row r="22" spans="1:6" ht="14.25" customHeight="1" x14ac:dyDescent="0.25">
      <c r="A22">
        <v>3</v>
      </c>
      <c r="B22" s="59">
        <f>'Project Cash Flow'!I8-'Project Cash Flow'!H8</f>
        <v>-1.6454966500758701</v>
      </c>
    </row>
    <row r="23" spans="1:6" ht="14.25" customHeight="1" x14ac:dyDescent="0.25">
      <c r="A23">
        <v>4</v>
      </c>
      <c r="B23" s="59">
        <f>'Project Cash Flow'!I9-'Project Cash Flow'!H9</f>
        <v>-1.5791375037544617</v>
      </c>
    </row>
    <row r="24" spans="1:6" ht="14.25" customHeight="1" x14ac:dyDescent="0.25">
      <c r="A24">
        <v>5</v>
      </c>
      <c r="B24" s="59">
        <f>'Project Cash Flow'!I10-'Project Cash Flow'!H10</f>
        <v>-1.5073963262416248</v>
      </c>
    </row>
    <row r="25" spans="1:6" ht="14.25" customHeight="1" x14ac:dyDescent="0.25">
      <c r="A25">
        <v>6</v>
      </c>
      <c r="B25" s="59">
        <f>'Project Cash Flow'!I11-'Project Cash Flow'!H11</f>
        <v>-1.0298294878830356</v>
      </c>
    </row>
    <row r="26" spans="1:6" ht="14.25" customHeight="1" x14ac:dyDescent="0.25">
      <c r="A26">
        <v>7</v>
      </c>
      <c r="B26" s="59">
        <f>'Project Cash Flow'!I12-'Project Cash Flow'!H12</f>
        <v>-0.94595626776285702</v>
      </c>
    </row>
    <row r="27" spans="1:6" ht="14.25" customHeight="1" x14ac:dyDescent="0.25">
      <c r="A27">
        <v>8</v>
      </c>
      <c r="B27" s="59">
        <f>'Project Cash Flow'!I13-'Project Cash Flow'!H13</f>
        <v>0.57331571430360739</v>
      </c>
    </row>
    <row r="28" spans="1:6" ht="14.25" customHeight="1" x14ac:dyDescent="0.25">
      <c r="A28">
        <v>9</v>
      </c>
      <c r="B28" s="59">
        <f>'Project Cash Flow'!I14-'Project Cash Flow'!H14</f>
        <v>0.67140819142992059</v>
      </c>
    </row>
    <row r="29" spans="1:6" ht="14.25" customHeight="1" x14ac:dyDescent="0.25">
      <c r="A29">
        <v>10</v>
      </c>
      <c r="B29" s="59">
        <f>'Project Cash Flow'!I15-'Project Cash Flow'!H15</f>
        <v>0.77750452070972575</v>
      </c>
    </row>
    <row r="30" spans="1:6" ht="14.25" customHeight="1" x14ac:dyDescent="0.25">
      <c r="A30">
        <v>11</v>
      </c>
      <c r="B30" s="59">
        <f>'Project Cash Flow'!I16-'Project Cash Flow'!H16</f>
        <v>0.89226798541105345</v>
      </c>
    </row>
    <row r="31" spans="1:6" ht="14.25" customHeight="1" x14ac:dyDescent="0.25">
      <c r="A31">
        <v>12</v>
      </c>
      <c r="B31" s="59">
        <f>'Project Cash Flow'!I17-'Project Cash Flow'!H17</f>
        <v>1.0164175842552559</v>
      </c>
    </row>
    <row r="32" spans="1:6" ht="14.25" customHeight="1" x14ac:dyDescent="0.25">
      <c r="A32">
        <v>13</v>
      </c>
      <c r="B32" s="59">
        <f>'Project Cash Flow'!I18-'Project Cash Flow'!H18</f>
        <v>1.1507327661030775</v>
      </c>
    </row>
    <row r="33" spans="1:2" ht="14.25" customHeight="1" x14ac:dyDescent="0.25">
      <c r="A33">
        <v>14</v>
      </c>
      <c r="B33" s="59">
        <f>'Project Cash Flow'!I19-'Project Cash Flow'!H19</f>
        <v>1.2960585709597487</v>
      </c>
    </row>
    <row r="34" spans="1:2" ht="14.25" customHeight="1" x14ac:dyDescent="0.25">
      <c r="A34">
        <v>15</v>
      </c>
      <c r="B34" s="59">
        <f>'Project Cash Flow'!I20-'Project Cash Flow'!H20</f>
        <v>1.4533112124556604</v>
      </c>
    </row>
    <row r="35" spans="1:2" ht="14.25" customHeight="1" x14ac:dyDescent="0.25">
      <c r="A35">
        <v>16</v>
      </c>
      <c r="B35" s="59">
        <f>'Project Cash Flow'!I21-'Project Cash Flow'!H21</f>
        <v>1.6234841400218274</v>
      </c>
    </row>
    <row r="36" spans="1:2" ht="14.25" customHeight="1" x14ac:dyDescent="0.25">
      <c r="A36">
        <v>17</v>
      </c>
      <c r="B36" s="59">
        <f>'Project Cash Flow'!I22-'Project Cash Flow'!H22</f>
        <v>1.8076546223103191</v>
      </c>
    </row>
    <row r="37" spans="1:2" ht="14.25" customHeight="1" x14ac:dyDescent="0.25">
      <c r="A37">
        <v>18</v>
      </c>
      <c r="B37" s="59">
        <f>'Project Cash Flow'!I23-'Project Cash Flow'!H23</f>
        <v>2.0069908970327575</v>
      </c>
    </row>
    <row r="38" spans="1:2" ht="14.25" customHeight="1" x14ac:dyDescent="0.25">
      <c r="A38">
        <v>19</v>
      </c>
      <c r="B38" s="59">
        <f>'Project Cash Flow'!I24-'Project Cash Flow'!H24</f>
        <v>2.2227599363304709</v>
      </c>
    </row>
    <row r="39" spans="1:2" ht="14.25" customHeight="1" x14ac:dyDescent="0.25">
      <c r="A39">
        <v>20</v>
      </c>
      <c r="B39" s="59">
        <f>'Project Cash Flow'!I25-'Project Cash Flow'!H25</f>
        <v>2.4563358810760292</v>
      </c>
    </row>
    <row r="40" spans="1:2" ht="14.25" customHeight="1" x14ac:dyDescent="0.25">
      <c r="A40" s="55" t="s">
        <v>165</v>
      </c>
    </row>
  </sheetData>
  <mergeCells count="3">
    <mergeCell ref="A1:F1"/>
    <mergeCell ref="A2:F2"/>
    <mergeCell ref="A17:F17"/>
  </mergeCells>
  <pageMargins left="0.25" right="0.25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4"/>
  <sheetViews>
    <sheetView showGridLines="0" zoomScaleNormal="100" workbookViewId="0"/>
  </sheetViews>
  <sheetFormatPr defaultColWidth="8.7109375" defaultRowHeight="14.25" customHeight="1" x14ac:dyDescent="0.25"/>
  <cols>
    <col min="1" max="1" width="28" customWidth="1"/>
    <col min="2" max="2" width="15" customWidth="1"/>
    <col min="3" max="3" width="28" customWidth="1"/>
    <col min="4" max="4" width="15" customWidth="1"/>
    <col min="5" max="5" width="28" customWidth="1"/>
    <col min="6" max="6" width="15" customWidth="1"/>
  </cols>
  <sheetData>
    <row r="1" spans="1:6" ht="21" customHeight="1" x14ac:dyDescent="0.35">
      <c r="A1" s="6" t="s">
        <v>406</v>
      </c>
      <c r="B1" s="6"/>
      <c r="C1" s="6"/>
      <c r="D1" s="6"/>
      <c r="E1" s="6"/>
      <c r="F1" s="6"/>
    </row>
    <row r="2" spans="1:6" ht="14.25" customHeight="1" x14ac:dyDescent="0.25">
      <c r="A2" s="5" t="s">
        <v>407</v>
      </c>
      <c r="B2" s="5"/>
      <c r="C2" s="5"/>
      <c r="D2" s="5"/>
      <c r="E2" s="5"/>
      <c r="F2" s="5"/>
    </row>
    <row r="4" spans="1:6" ht="14.25" customHeight="1" x14ac:dyDescent="0.25">
      <c r="A4" s="61" t="s">
        <v>408</v>
      </c>
      <c r="B4" s="61" t="s">
        <v>4</v>
      </c>
      <c r="C4" s="61" t="s">
        <v>409</v>
      </c>
      <c r="D4" s="61" t="s">
        <v>4</v>
      </c>
      <c r="E4" s="61" t="s">
        <v>410</v>
      </c>
      <c r="F4" s="61" t="s">
        <v>4</v>
      </c>
    </row>
    <row r="5" spans="1:6" ht="14.25" customHeight="1" x14ac:dyDescent="0.25">
      <c r="A5" s="19" t="s">
        <v>8</v>
      </c>
      <c r="B5" s="17">
        <v>13</v>
      </c>
      <c r="C5" s="19" t="s">
        <v>411</v>
      </c>
      <c r="D5" s="17">
        <v>16.25</v>
      </c>
      <c r="E5" s="19" t="s">
        <v>412</v>
      </c>
      <c r="F5" s="17">
        <v>8.75</v>
      </c>
    </row>
    <row r="6" spans="1:6" ht="14.25" customHeight="1" x14ac:dyDescent="0.25">
      <c r="A6" s="19" t="s">
        <v>218</v>
      </c>
      <c r="B6" s="17">
        <v>9</v>
      </c>
      <c r="C6" s="19"/>
      <c r="D6" s="19"/>
      <c r="E6" s="19"/>
      <c r="F6" s="19"/>
    </row>
    <row r="7" spans="1:6" ht="14.25" customHeight="1" x14ac:dyDescent="0.25">
      <c r="A7" s="19" t="s">
        <v>12</v>
      </c>
      <c r="B7" s="17">
        <v>2</v>
      </c>
      <c r="C7" s="19"/>
      <c r="D7" s="19"/>
      <c r="E7" s="19"/>
      <c r="F7" s="19"/>
    </row>
    <row r="8" spans="1:6" ht="14.25" customHeight="1" x14ac:dyDescent="0.25">
      <c r="A8" s="19" t="s">
        <v>14</v>
      </c>
      <c r="B8" s="17">
        <v>1</v>
      </c>
      <c r="C8" s="19"/>
      <c r="D8" s="19"/>
      <c r="E8" s="19"/>
      <c r="F8" s="19"/>
    </row>
    <row r="9" spans="1:6" ht="14.25" customHeight="1" x14ac:dyDescent="0.25">
      <c r="A9" s="19" t="s">
        <v>413</v>
      </c>
      <c r="B9" s="17">
        <v>0.125</v>
      </c>
      <c r="C9" s="19"/>
      <c r="D9" s="19"/>
      <c r="E9" s="19" t="s">
        <v>414</v>
      </c>
      <c r="F9" s="17">
        <v>0.125</v>
      </c>
    </row>
    <row r="10" spans="1:6" ht="14.25" customHeight="1" x14ac:dyDescent="0.25">
      <c r="A10" t="s">
        <v>415</v>
      </c>
      <c r="B10">
        <f>SUM('Debt Service'!B19:N20)</f>
        <v>0.89115000000000033</v>
      </c>
      <c r="C10" t="s">
        <v>416</v>
      </c>
      <c r="D10">
        <f>B10</f>
        <v>0.89115000000000033</v>
      </c>
      <c r="E10" t="s">
        <v>417</v>
      </c>
      <c r="F10">
        <f>B10</f>
        <v>0.89115000000000033</v>
      </c>
    </row>
    <row r="11" spans="1:6" ht="14.25" customHeight="1" x14ac:dyDescent="0.25">
      <c r="A11" s="56" t="s">
        <v>3</v>
      </c>
      <c r="B11" s="56">
        <f>SUM(B5:B8)</f>
        <v>25</v>
      </c>
      <c r="C11" s="56" t="s">
        <v>418</v>
      </c>
      <c r="D11" s="56">
        <f>SUM(D5:D8)</f>
        <v>16.25</v>
      </c>
      <c r="E11" s="56" t="s">
        <v>419</v>
      </c>
      <c r="F11" s="56">
        <f>SUM(F5:F8)</f>
        <v>8.75</v>
      </c>
    </row>
    <row r="12" spans="1:6" ht="14.25" customHeight="1" x14ac:dyDescent="0.25">
      <c r="A12" s="19" t="s">
        <v>420</v>
      </c>
      <c r="B12" s="17">
        <f>B11+B9+B10</f>
        <v>26.01615</v>
      </c>
      <c r="C12" s="19" t="s">
        <v>421</v>
      </c>
      <c r="D12" s="17">
        <f>D11</f>
        <v>16.25</v>
      </c>
      <c r="E12" s="19" t="s">
        <v>422</v>
      </c>
      <c r="F12" s="17">
        <f>F11+F9+F10</f>
        <v>9.7661499999999997</v>
      </c>
    </row>
    <row r="14" spans="1:6" ht="14.25" customHeight="1" x14ac:dyDescent="0.25">
      <c r="A14" s="55" t="s">
        <v>165</v>
      </c>
    </row>
  </sheetData>
  <mergeCells count="2">
    <mergeCell ref="A1:F1"/>
    <mergeCell ref="A2:F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0"/>
  <sheetViews>
    <sheetView showGridLines="0" zoomScale="115" zoomScaleNormal="115" workbookViewId="0"/>
  </sheetViews>
  <sheetFormatPr defaultColWidth="8.7109375" defaultRowHeight="14.25" customHeight="1" x14ac:dyDescent="0.25"/>
  <cols>
    <col min="1" max="1" width="21" customWidth="1"/>
    <col min="2" max="8" width="12.7109375" customWidth="1"/>
  </cols>
  <sheetData>
    <row r="1" spans="1:8" ht="21" customHeight="1" x14ac:dyDescent="0.35">
      <c r="A1" s="6" t="s">
        <v>423</v>
      </c>
      <c r="B1" s="6"/>
      <c r="C1" s="6"/>
      <c r="D1" s="6"/>
      <c r="E1" s="6"/>
      <c r="F1" s="6"/>
      <c r="G1" s="6"/>
      <c r="H1" s="6"/>
    </row>
    <row r="2" spans="1:8" ht="14.25" customHeight="1" x14ac:dyDescent="0.25">
      <c r="A2" s="5" t="s">
        <v>424</v>
      </c>
      <c r="B2" s="5"/>
      <c r="C2" s="5"/>
      <c r="D2" s="5"/>
      <c r="E2" s="5"/>
      <c r="F2" s="5"/>
      <c r="G2" s="5"/>
      <c r="H2" s="5"/>
    </row>
    <row r="4" spans="1:8" ht="14.25" customHeight="1" x14ac:dyDescent="0.25">
      <c r="A4" s="61" t="s">
        <v>425</v>
      </c>
      <c r="B4" s="61" t="s">
        <v>333</v>
      </c>
      <c r="C4" s="61" t="s">
        <v>334</v>
      </c>
      <c r="D4" s="61" t="s">
        <v>271</v>
      </c>
      <c r="E4" s="61" t="s">
        <v>335</v>
      </c>
      <c r="F4" s="61" t="s">
        <v>336</v>
      </c>
      <c r="G4" s="61" t="s">
        <v>426</v>
      </c>
      <c r="H4" s="61" t="s">
        <v>427</v>
      </c>
    </row>
    <row r="5" spans="1:8" ht="30.75" customHeight="1" x14ac:dyDescent="0.25">
      <c r="A5" s="19" t="s">
        <v>338</v>
      </c>
      <c r="B5" s="21">
        <v>0.75</v>
      </c>
      <c r="C5" s="21">
        <v>0.95</v>
      </c>
      <c r="D5" s="21">
        <v>1.08</v>
      </c>
      <c r="E5" s="21">
        <v>1.1499999999999999</v>
      </c>
      <c r="F5" s="19">
        <v>11</v>
      </c>
      <c r="G5" s="18" t="s">
        <v>428</v>
      </c>
      <c r="H5" s="18" t="s">
        <v>429</v>
      </c>
    </row>
    <row r="6" spans="1:8" ht="29.25" customHeight="1" x14ac:dyDescent="0.25">
      <c r="A6" s="19" t="s">
        <v>340</v>
      </c>
      <c r="B6" s="21">
        <v>1</v>
      </c>
      <c r="C6" s="21">
        <v>1</v>
      </c>
      <c r="D6" s="21">
        <v>1</v>
      </c>
      <c r="E6" s="21">
        <v>1</v>
      </c>
      <c r="F6" s="19">
        <v>14</v>
      </c>
      <c r="G6" s="18" t="s">
        <v>79</v>
      </c>
      <c r="H6" s="18" t="s">
        <v>430</v>
      </c>
    </row>
    <row r="7" spans="1:8" ht="33" customHeight="1" x14ac:dyDescent="0.25">
      <c r="A7" s="19" t="s">
        <v>342</v>
      </c>
      <c r="B7" s="21">
        <v>1.2</v>
      </c>
      <c r="C7" s="21">
        <v>1.05</v>
      </c>
      <c r="D7" s="21">
        <v>0.95</v>
      </c>
      <c r="E7" s="21">
        <v>0.95</v>
      </c>
      <c r="F7" s="19">
        <v>16</v>
      </c>
      <c r="G7" s="18" t="s">
        <v>431</v>
      </c>
      <c r="H7" s="18" t="s">
        <v>432</v>
      </c>
    </row>
    <row r="10" spans="1:8" ht="14.25" customHeight="1" x14ac:dyDescent="0.25">
      <c r="A10" t="s">
        <v>433</v>
      </c>
    </row>
    <row r="11" spans="1:8" ht="14.25" customHeight="1" x14ac:dyDescent="0.25">
      <c r="A11" t="s">
        <v>434</v>
      </c>
    </row>
    <row r="12" spans="1:8" ht="14.25" customHeight="1" x14ac:dyDescent="0.25">
      <c r="A12" t="s">
        <v>435</v>
      </c>
    </row>
    <row r="13" spans="1:8" ht="14.25" customHeight="1" x14ac:dyDescent="0.25">
      <c r="A13" t="s">
        <v>436</v>
      </c>
    </row>
    <row r="14" spans="1:8" ht="14.25" customHeight="1" x14ac:dyDescent="0.25">
      <c r="A14" t="s">
        <v>437</v>
      </c>
    </row>
    <row r="15" spans="1:8" ht="14.25" customHeight="1" x14ac:dyDescent="0.25">
      <c r="A15" t="s">
        <v>438</v>
      </c>
    </row>
    <row r="16" spans="1:8" ht="14.25" customHeight="1" x14ac:dyDescent="0.25">
      <c r="A16" t="s">
        <v>439</v>
      </c>
    </row>
    <row r="17" spans="1:1" ht="14.25" customHeight="1" x14ac:dyDescent="0.25">
      <c r="A17" t="s">
        <v>440</v>
      </c>
    </row>
    <row r="18" spans="1:1" ht="14.25" customHeight="1" x14ac:dyDescent="0.25">
      <c r="A18" t="s">
        <v>441</v>
      </c>
    </row>
    <row r="20" spans="1:1" ht="14.25" customHeight="1" x14ac:dyDescent="0.25">
      <c r="A20" s="55" t="s">
        <v>165</v>
      </c>
    </row>
  </sheetData>
  <mergeCells count="2">
    <mergeCell ref="A1:H1"/>
    <mergeCell ref="A2:H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20"/>
  <sheetViews>
    <sheetView showGridLines="0" zoomScale="115" zoomScaleNormal="115" workbookViewId="0"/>
  </sheetViews>
  <sheetFormatPr defaultColWidth="8.7109375" defaultRowHeight="14.25" customHeight="1" x14ac:dyDescent="0.25"/>
  <cols>
    <col min="1" max="1" width="38" customWidth="1"/>
    <col min="2" max="2" width="18" customWidth="1"/>
    <col min="3" max="3" width="15" customWidth="1"/>
    <col min="4" max="4" width="14" customWidth="1"/>
    <col min="5" max="5" width="42.140625" customWidth="1"/>
  </cols>
  <sheetData>
    <row r="1" spans="1:5" ht="21" customHeight="1" x14ac:dyDescent="0.35">
      <c r="A1" s="6" t="s">
        <v>442</v>
      </c>
      <c r="B1" s="6"/>
      <c r="C1" s="6"/>
      <c r="D1" s="6"/>
      <c r="E1" s="6"/>
    </row>
    <row r="2" spans="1:5" ht="14.25" customHeight="1" x14ac:dyDescent="0.25">
      <c r="A2" s="5" t="s">
        <v>443</v>
      </c>
      <c r="B2" s="5"/>
      <c r="C2" s="5"/>
      <c r="D2" s="5"/>
      <c r="E2" s="5"/>
    </row>
    <row r="4" spans="1:5" ht="14.25" customHeight="1" x14ac:dyDescent="0.25">
      <c r="A4" s="61" t="s">
        <v>444</v>
      </c>
      <c r="B4" s="61" t="s">
        <v>445</v>
      </c>
      <c r="C4" s="61" t="s">
        <v>446</v>
      </c>
      <c r="D4" s="61" t="s">
        <v>50</v>
      </c>
      <c r="E4" s="61" t="s">
        <v>447</v>
      </c>
    </row>
    <row r="5" spans="1:5" ht="14.25" customHeight="1" x14ac:dyDescent="0.25">
      <c r="A5" s="19" t="s">
        <v>8</v>
      </c>
      <c r="B5" s="17">
        <f>SUM(CAPEX!C5:C17)</f>
        <v>7.8000000000000016</v>
      </c>
      <c r="C5" s="17">
        <v>13</v>
      </c>
      <c r="D5" s="19" t="str">
        <f t="shared" ref="D5:D10" si="0">IF(ABS(B5-C5)&lt;0.001,"PASS","CHECK")</f>
        <v>CHECK</v>
      </c>
      <c r="E5" s="19"/>
    </row>
    <row r="6" spans="1:5" ht="14.25" customHeight="1" x14ac:dyDescent="0.25">
      <c r="A6" s="19" t="s">
        <v>10</v>
      </c>
      <c r="B6" s="17">
        <f>SUM(CAPEX!D5:D17)</f>
        <v>9.0000000000000302</v>
      </c>
      <c r="C6" s="17">
        <v>9</v>
      </c>
      <c r="D6" s="19" t="str">
        <f t="shared" si="0"/>
        <v>PASS</v>
      </c>
      <c r="E6" s="19"/>
    </row>
    <row r="7" spans="1:5" ht="14.25" customHeight="1" x14ac:dyDescent="0.25">
      <c r="A7" s="19" t="s">
        <v>12</v>
      </c>
      <c r="B7" s="17">
        <f>SUM(CAPEX!E5:E17)</f>
        <v>2</v>
      </c>
      <c r="C7" s="17">
        <v>2</v>
      </c>
      <c r="D7" s="19" t="str">
        <f t="shared" si="0"/>
        <v>PASS</v>
      </c>
      <c r="E7" s="19"/>
    </row>
    <row r="8" spans="1:5" ht="14.25" customHeight="1" x14ac:dyDescent="0.25">
      <c r="A8" s="19" t="s">
        <v>14</v>
      </c>
      <c r="B8" s="17">
        <f>SUM(CAPEX!F5:F17)</f>
        <v>1.0000000000000009</v>
      </c>
      <c r="C8" s="17">
        <v>1</v>
      </c>
      <c r="D8" s="19" t="str">
        <f t="shared" si="0"/>
        <v>PASS</v>
      </c>
      <c r="E8" s="19"/>
    </row>
    <row r="9" spans="1:5" ht="14.25" customHeight="1" x14ac:dyDescent="0.25">
      <c r="A9" s="19" t="s">
        <v>3</v>
      </c>
      <c r="B9" s="17">
        <f>SUM(CAPEX!C18:F18)</f>
        <v>0.65</v>
      </c>
      <c r="C9" s="17">
        <v>25</v>
      </c>
      <c r="D9" s="19" t="str">
        <f t="shared" si="0"/>
        <v>CHECK</v>
      </c>
      <c r="E9" s="19"/>
    </row>
    <row r="10" spans="1:5" ht="14.25" customHeight="1" x14ac:dyDescent="0.25">
      <c r="A10" s="19" t="s">
        <v>171</v>
      </c>
      <c r="B10" s="17">
        <f>SUM(CAPEX!G5:G17)</f>
        <v>19.925000000000022</v>
      </c>
      <c r="C10" s="17">
        <v>25.125</v>
      </c>
      <c r="D10" s="19" t="str">
        <f t="shared" si="0"/>
        <v>CHECK</v>
      </c>
      <c r="E10" s="19"/>
    </row>
    <row r="11" spans="1:5" ht="31.5" customHeight="1" x14ac:dyDescent="0.25">
      <c r="A11" s="19" t="s">
        <v>448</v>
      </c>
      <c r="B11" s="17">
        <f>'Project Cash Flow'!H25</f>
        <v>60.620597634219251</v>
      </c>
      <c r="C11" s="17">
        <v>0</v>
      </c>
      <c r="D11" s="19" t="str">
        <f>IF(B11&gt;=0,"PASS","CHECK")</f>
        <v>PASS</v>
      </c>
      <c r="E11" s="18" t="s">
        <v>449</v>
      </c>
    </row>
    <row r="12" spans="1:5" ht="14.25" customHeight="1" x14ac:dyDescent="0.25">
      <c r="A12" t="s">
        <v>450</v>
      </c>
      <c r="B12">
        <v>12</v>
      </c>
      <c r="C12">
        <v>12</v>
      </c>
      <c r="D12" t="str">
        <f>IF(B12=C12,"PASS","CHECK")</f>
        <v>PASS</v>
      </c>
      <c r="E12" t="s">
        <v>451</v>
      </c>
    </row>
    <row r="14" spans="1:5" ht="30" customHeight="1" x14ac:dyDescent="0.25">
      <c r="A14" s="15" t="s">
        <v>452</v>
      </c>
      <c r="B14" s="19">
        <f>SUM('Debt Service'!B7:N7)</f>
        <v>12.870000000000017</v>
      </c>
      <c r="C14" s="19">
        <v>16.25</v>
      </c>
      <c r="D14" s="19" t="str">
        <f>IF(ABS(B14-C14)&lt;0.001,"PASS","CHECK")</f>
        <v>CHECK</v>
      </c>
      <c r="E14" s="18" t="s">
        <v>453</v>
      </c>
    </row>
    <row r="15" spans="1:5" ht="29.25" customHeight="1" x14ac:dyDescent="0.25">
      <c r="A15" s="15" t="s">
        <v>454</v>
      </c>
      <c r="B15" s="17">
        <f>'Debt Service'!N12</f>
        <v>10.614879032239532</v>
      </c>
      <c r="C15" s="19" t="s">
        <v>455</v>
      </c>
      <c r="D15" s="19" t="str">
        <f>IF(B15&gt;=0,"PASS","CHECK")</f>
        <v>PASS</v>
      </c>
      <c r="E15" s="18" t="s">
        <v>456</v>
      </c>
    </row>
    <row r="16" spans="1:5" ht="29.25" customHeight="1" x14ac:dyDescent="0.25">
      <c r="A16" s="15" t="s">
        <v>457</v>
      </c>
      <c r="B16" s="21">
        <f>'Credit Metrics'!B12</f>
        <v>0.6998743177311203</v>
      </c>
      <c r="C16" s="19" t="s">
        <v>458</v>
      </c>
      <c r="D16" s="19" t="str">
        <f>IF(B16&gt;=Inputs!B68,"PASS","WARNING")</f>
        <v>WARNING</v>
      </c>
      <c r="E16" s="18" t="s">
        <v>459</v>
      </c>
    </row>
    <row r="17" spans="1:5" ht="29.25" customHeight="1" x14ac:dyDescent="0.25">
      <c r="A17" s="15" t="s">
        <v>460</v>
      </c>
      <c r="B17" s="17" t="e">
        <f>'Credit Metrics'!B8</f>
        <v>#N/A</v>
      </c>
      <c r="C17" s="19" t="s">
        <v>461</v>
      </c>
      <c r="D17" s="19" t="e">
        <f>IF(B17&gt;=B14,"PASS","WARNING")</f>
        <v>#N/A</v>
      </c>
      <c r="E17" s="18" t="s">
        <v>462</v>
      </c>
    </row>
    <row r="18" spans="1:5" ht="14.25" customHeight="1" x14ac:dyDescent="0.25">
      <c r="A18" s="15" t="s">
        <v>463</v>
      </c>
      <c r="B18" s="17">
        <f>'Bankability CF'!N18</f>
        <v>0</v>
      </c>
      <c r="C18" s="19" t="s">
        <v>455</v>
      </c>
      <c r="D18" s="19" t="str">
        <f>IF(B18&gt;=0,"PASS","CHECK")</f>
        <v>PASS</v>
      </c>
      <c r="E18" s="19" t="s">
        <v>464</v>
      </c>
    </row>
    <row r="20" spans="1:5" ht="14.25" customHeight="1" x14ac:dyDescent="0.25">
      <c r="A20" s="55" t="s">
        <v>165</v>
      </c>
    </row>
  </sheetData>
  <mergeCells count="2">
    <mergeCell ref="A1:E1"/>
    <mergeCell ref="A2:E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9" sqref="F9"/>
    </sheetView>
  </sheetViews>
  <sheetFormatPr defaultColWidth="8.7109375" defaultRowHeight="15" customHeight="1" x14ac:dyDescent="0.25"/>
  <cols>
    <col min="1" max="1" width="28" customWidth="1"/>
    <col min="2" max="2" width="85" customWidth="1"/>
  </cols>
  <sheetData>
    <row r="1" spans="1:2" ht="25.5" customHeight="1" x14ac:dyDescent="0.25">
      <c r="A1" s="13" t="s">
        <v>465</v>
      </c>
      <c r="B1" s="13"/>
    </row>
    <row r="2" spans="1:2" ht="31.5" customHeight="1" x14ac:dyDescent="0.25">
      <c r="A2" s="12" t="s">
        <v>466</v>
      </c>
      <c r="B2" s="12"/>
    </row>
    <row r="4" spans="1:2" ht="33.75" customHeight="1" x14ac:dyDescent="0.25">
      <c r="A4" s="74" t="s">
        <v>467</v>
      </c>
      <c r="B4" s="62" t="s">
        <v>468</v>
      </c>
    </row>
    <row r="5" spans="1:2" ht="30.75" customHeight="1" x14ac:dyDescent="0.25">
      <c r="A5" s="74" t="s">
        <v>469</v>
      </c>
      <c r="B5" s="62" t="s">
        <v>470</v>
      </c>
    </row>
    <row r="6" spans="1:2" ht="30.75" customHeight="1" x14ac:dyDescent="0.25">
      <c r="A6" s="74" t="s">
        <v>471</v>
      </c>
      <c r="B6" s="62" t="s">
        <v>472</v>
      </c>
    </row>
    <row r="7" spans="1:2" ht="20.25" customHeight="1" x14ac:dyDescent="0.25">
      <c r="A7" s="74" t="s">
        <v>473</v>
      </c>
      <c r="B7" s="62" t="s">
        <v>474</v>
      </c>
    </row>
    <row r="8" spans="1:2" ht="18.75" customHeight="1" x14ac:dyDescent="0.25">
      <c r="A8" s="74" t="s">
        <v>475</v>
      </c>
      <c r="B8" s="62" t="s">
        <v>476</v>
      </c>
    </row>
    <row r="9" spans="1:2" ht="19.5" customHeight="1" x14ac:dyDescent="0.25">
      <c r="A9" s="74" t="s">
        <v>477</v>
      </c>
      <c r="B9" s="62" t="s">
        <v>478</v>
      </c>
    </row>
    <row r="10" spans="1:2" ht="47.25" customHeight="1" x14ac:dyDescent="0.25">
      <c r="A10" s="74" t="s">
        <v>402</v>
      </c>
      <c r="B10" s="62" t="s">
        <v>479</v>
      </c>
    </row>
    <row r="11" spans="1:2" ht="48" customHeight="1" x14ac:dyDescent="0.25">
      <c r="A11" s="74" t="s">
        <v>480</v>
      </c>
      <c r="B11" s="62" t="s">
        <v>481</v>
      </c>
    </row>
    <row r="12" spans="1:2" ht="30" customHeight="1" x14ac:dyDescent="0.25">
      <c r="A12" s="74" t="s">
        <v>482</v>
      </c>
      <c r="B12" s="62" t="s">
        <v>483</v>
      </c>
    </row>
    <row r="13" spans="1:2" ht="48" customHeight="1" x14ac:dyDescent="0.25">
      <c r="A13" s="74" t="s">
        <v>484</v>
      </c>
      <c r="B13" s="62" t="s">
        <v>485</v>
      </c>
    </row>
    <row r="14" spans="1:2" ht="27.75" customHeight="1" x14ac:dyDescent="0.25">
      <c r="A14" s="74" t="s">
        <v>486</v>
      </c>
      <c r="B14" s="18" t="s">
        <v>487</v>
      </c>
    </row>
  </sheetData>
  <mergeCells count="2">
    <mergeCell ref="A1:B1"/>
    <mergeCell ref="A2:B2"/>
  </mergeCells>
  <pageMargins left="0.25" right="0.25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V2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customHeight="1" x14ac:dyDescent="0.25"/>
  <cols>
    <col min="1" max="1" width="32" customWidth="1"/>
    <col min="2" max="2" width="14" customWidth="1"/>
    <col min="14" max="22" width="13" customWidth="1"/>
  </cols>
  <sheetData>
    <row r="1" spans="1:22" ht="25.5" customHeight="1" x14ac:dyDescent="0.25">
      <c r="A1" s="13" t="s">
        <v>488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2" ht="31.5" customHeight="1" x14ac:dyDescent="0.25">
      <c r="A2" s="12" t="s">
        <v>489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22" ht="15" customHeight="1" x14ac:dyDescent="0.25">
      <c r="A4" s="75" t="s">
        <v>65</v>
      </c>
      <c r="B4" s="75" t="s">
        <v>142</v>
      </c>
      <c r="C4" s="75" t="s">
        <v>143</v>
      </c>
      <c r="D4" s="75" t="s">
        <v>145</v>
      </c>
      <c r="E4" s="75" t="s">
        <v>147</v>
      </c>
      <c r="F4" s="75" t="s">
        <v>149</v>
      </c>
      <c r="G4" s="75" t="s">
        <v>150</v>
      </c>
      <c r="H4" s="75" t="s">
        <v>151</v>
      </c>
      <c r="I4" s="75" t="s">
        <v>152</v>
      </c>
      <c r="J4" s="75" t="s">
        <v>153</v>
      </c>
      <c r="K4" s="75" t="s">
        <v>154</v>
      </c>
      <c r="L4" s="75" t="s">
        <v>155</v>
      </c>
      <c r="M4" s="75" t="s">
        <v>156</v>
      </c>
      <c r="N4" s="75" t="s">
        <v>157</v>
      </c>
      <c r="O4" s="75" t="s">
        <v>158</v>
      </c>
      <c r="P4" s="75" t="s">
        <v>159</v>
      </c>
      <c r="Q4" s="75" t="s">
        <v>160</v>
      </c>
      <c r="R4" s="75" t="s">
        <v>161</v>
      </c>
      <c r="S4" s="75" t="s">
        <v>162</v>
      </c>
      <c r="T4" s="75" t="s">
        <v>163</v>
      </c>
      <c r="U4" s="75" t="s">
        <v>164</v>
      </c>
      <c r="V4" s="75" t="s">
        <v>157</v>
      </c>
    </row>
    <row r="5" spans="1:22" ht="15" customHeight="1" x14ac:dyDescent="0.25">
      <c r="A5" s="76" t="s">
        <v>198</v>
      </c>
      <c r="B5" s="19">
        <v>0</v>
      </c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19">
        <v>12</v>
      </c>
      <c r="O5" s="19">
        <v>13</v>
      </c>
      <c r="P5" s="19">
        <v>14</v>
      </c>
      <c r="Q5" s="19">
        <v>15</v>
      </c>
      <c r="R5" s="19">
        <v>16</v>
      </c>
      <c r="S5" s="19">
        <v>17</v>
      </c>
      <c r="T5" s="19">
        <v>18</v>
      </c>
      <c r="U5" s="19">
        <v>19</v>
      </c>
      <c r="V5" s="19">
        <v>20</v>
      </c>
    </row>
    <row r="6" spans="1:22" ht="15" customHeight="1" x14ac:dyDescent="0.25">
      <c r="A6" s="77" t="s">
        <v>490</v>
      </c>
      <c r="B6" s="17">
        <f>CAPEX!C5</f>
        <v>0</v>
      </c>
      <c r="C6" s="17">
        <f>CAPEX!C6</f>
        <v>0.65</v>
      </c>
      <c r="D6" s="17">
        <f>CAPEX!C7</f>
        <v>0.65</v>
      </c>
      <c r="E6" s="17">
        <f>CAPEX!C8</f>
        <v>0.65</v>
      </c>
      <c r="F6" s="17">
        <f>CAPEX!C9</f>
        <v>0.65</v>
      </c>
      <c r="G6" s="17">
        <f>CAPEX!C10</f>
        <v>0.65</v>
      </c>
      <c r="H6" s="17">
        <f>CAPEX!C11</f>
        <v>0.65</v>
      </c>
      <c r="I6" s="17">
        <f>CAPEX!C12</f>
        <v>0.65</v>
      </c>
      <c r="J6" s="17">
        <f>CAPEX!C13</f>
        <v>0.65</v>
      </c>
      <c r="K6" s="17">
        <f>CAPEX!C14</f>
        <v>0.65</v>
      </c>
      <c r="L6" s="17">
        <f>CAPEX!C15</f>
        <v>0.65</v>
      </c>
      <c r="M6" s="17">
        <f>CAPEX!C16</f>
        <v>0.65</v>
      </c>
      <c r="N6" s="17">
        <f>CAPEX!C17</f>
        <v>0.65</v>
      </c>
      <c r="O6" s="17">
        <f>CAPEX!C18</f>
        <v>0.65</v>
      </c>
      <c r="P6" s="17">
        <f>CAPEX!C19</f>
        <v>0.65</v>
      </c>
      <c r="Q6" s="17">
        <f>CAPEX!C20</f>
        <v>0.65</v>
      </c>
      <c r="R6" s="17">
        <f>CAPEX!C21</f>
        <v>0.65</v>
      </c>
      <c r="S6" s="17">
        <f>CAPEX!C22</f>
        <v>0.65</v>
      </c>
      <c r="T6" s="17">
        <f>CAPEX!C23</f>
        <v>0.65</v>
      </c>
      <c r="U6" s="17">
        <f>CAPEX!C24</f>
        <v>0.65</v>
      </c>
      <c r="V6" s="17">
        <f>CAPEX!C25</f>
        <v>0.65</v>
      </c>
    </row>
    <row r="7" spans="1:22" ht="15" customHeight="1" x14ac:dyDescent="0.25">
      <c r="A7" s="77" t="s">
        <v>491</v>
      </c>
      <c r="B7" s="17">
        <f>CAPEX!D5</f>
        <v>0</v>
      </c>
      <c r="C7" s="17">
        <f>CAPEX!D6</f>
        <v>1.28571428571429</v>
      </c>
      <c r="D7" s="17">
        <f>CAPEX!D7</f>
        <v>1.28571428571429</v>
      </c>
      <c r="E7" s="17">
        <f>CAPEX!D8</f>
        <v>1.28571428571429</v>
      </c>
      <c r="F7" s="17">
        <f>CAPEX!D9</f>
        <v>1.28571428571429</v>
      </c>
      <c r="G7" s="17">
        <f>CAPEX!D10</f>
        <v>1.28571428571429</v>
      </c>
      <c r="H7" s="17">
        <f>CAPEX!D11</f>
        <v>1.28571428571429</v>
      </c>
      <c r="I7" s="17">
        <f>CAPEX!D12</f>
        <v>1.28571428571429</v>
      </c>
      <c r="J7" s="17">
        <f>CAPEX!D13</f>
        <v>0</v>
      </c>
      <c r="K7" s="17">
        <f>CAPEX!D14</f>
        <v>0</v>
      </c>
      <c r="L7" s="17">
        <f>CAPEX!D15</f>
        <v>0</v>
      </c>
      <c r="M7" s="17">
        <f>CAPEX!D16</f>
        <v>0</v>
      </c>
      <c r="N7" s="17">
        <f>CAPEX!D17</f>
        <v>0</v>
      </c>
      <c r="O7" s="17">
        <f>CAPEX!D18</f>
        <v>0</v>
      </c>
      <c r="P7" s="17">
        <f>CAPEX!D19</f>
        <v>0</v>
      </c>
      <c r="Q7" s="17">
        <f>CAPEX!D20</f>
        <v>0</v>
      </c>
      <c r="R7" s="17">
        <f>CAPEX!D21</f>
        <v>0</v>
      </c>
      <c r="S7" s="17">
        <f>CAPEX!D22</f>
        <v>0</v>
      </c>
      <c r="T7" s="17">
        <f>CAPEX!D23</f>
        <v>0</v>
      </c>
      <c r="U7" s="17">
        <f>CAPEX!D24</f>
        <v>0</v>
      </c>
      <c r="V7" s="17">
        <f>CAPEX!D25</f>
        <v>0</v>
      </c>
    </row>
    <row r="8" spans="1:22" ht="15" customHeight="1" x14ac:dyDescent="0.25">
      <c r="A8" s="77" t="s">
        <v>492</v>
      </c>
      <c r="B8" s="17">
        <f>CAPEX!E5</f>
        <v>0</v>
      </c>
      <c r="C8" s="17">
        <f>CAPEX!E6</f>
        <v>0.4</v>
      </c>
      <c r="D8" s="17">
        <f>CAPEX!E7</f>
        <v>0.4</v>
      </c>
      <c r="E8" s="17">
        <f>CAPEX!E8</f>
        <v>0.4</v>
      </c>
      <c r="F8" s="17">
        <f>CAPEX!E9</f>
        <v>0.4</v>
      </c>
      <c r="G8" s="17">
        <f>CAPEX!E10</f>
        <v>0.4</v>
      </c>
      <c r="H8" s="17">
        <f>CAPEX!E11</f>
        <v>0</v>
      </c>
      <c r="I8" s="17">
        <f>CAPEX!E12</f>
        <v>0</v>
      </c>
      <c r="J8" s="17">
        <f>CAPEX!E13</f>
        <v>0</v>
      </c>
      <c r="K8" s="17">
        <f>CAPEX!E14</f>
        <v>0</v>
      </c>
      <c r="L8" s="17">
        <f>CAPEX!E15</f>
        <v>0</v>
      </c>
      <c r="M8" s="17">
        <f>CAPEX!E16</f>
        <v>0</v>
      </c>
      <c r="N8" s="17">
        <f>CAPEX!E17</f>
        <v>0</v>
      </c>
      <c r="O8" s="17">
        <f>CAPEX!E18</f>
        <v>0</v>
      </c>
      <c r="P8" s="17">
        <f>CAPEX!E19</f>
        <v>0</v>
      </c>
      <c r="Q8" s="17">
        <f>CAPEX!E20</f>
        <v>0</v>
      </c>
      <c r="R8" s="17">
        <f>CAPEX!E21</f>
        <v>0</v>
      </c>
      <c r="S8" s="17">
        <f>CAPEX!E22</f>
        <v>0</v>
      </c>
      <c r="T8" s="17">
        <f>CAPEX!E23</f>
        <v>0</v>
      </c>
      <c r="U8" s="17">
        <f>CAPEX!E24</f>
        <v>0</v>
      </c>
      <c r="V8" s="17">
        <f>CAPEX!E25</f>
        <v>0</v>
      </c>
    </row>
    <row r="9" spans="1:22" ht="15" customHeight="1" x14ac:dyDescent="0.25">
      <c r="A9" s="77" t="s">
        <v>493</v>
      </c>
      <c r="B9" s="17">
        <f>CAPEX!F5</f>
        <v>0</v>
      </c>
      <c r="C9" s="17">
        <f>CAPEX!F6</f>
        <v>0.14285714285714299</v>
      </c>
      <c r="D9" s="17">
        <f>CAPEX!F7</f>
        <v>0.14285714285714299</v>
      </c>
      <c r="E9" s="17">
        <f>CAPEX!F8</f>
        <v>0.14285714285714299</v>
      </c>
      <c r="F9" s="17">
        <f>CAPEX!F9</f>
        <v>0.14285714285714299</v>
      </c>
      <c r="G9" s="17">
        <f>CAPEX!F10</f>
        <v>0.14285714285714299</v>
      </c>
      <c r="H9" s="17">
        <f>CAPEX!F11</f>
        <v>0.14285714285714299</v>
      </c>
      <c r="I9" s="17">
        <f>CAPEX!F12</f>
        <v>0.14285714285714299</v>
      </c>
      <c r="J9" s="17">
        <f>CAPEX!F13</f>
        <v>0</v>
      </c>
      <c r="K9" s="17">
        <f>CAPEX!F14</f>
        <v>0</v>
      </c>
      <c r="L9" s="17">
        <f>CAPEX!F15</f>
        <v>0</v>
      </c>
      <c r="M9" s="17">
        <f>CAPEX!F16</f>
        <v>0</v>
      </c>
      <c r="N9" s="17">
        <f>CAPEX!F17</f>
        <v>0</v>
      </c>
      <c r="O9" s="17">
        <f>CAPEX!F18</f>
        <v>0</v>
      </c>
      <c r="P9" s="17">
        <f>CAPEX!F19</f>
        <v>0</v>
      </c>
      <c r="Q9" s="17">
        <f>CAPEX!F20</f>
        <v>0</v>
      </c>
      <c r="R9" s="17">
        <f>CAPEX!F21</f>
        <v>0</v>
      </c>
      <c r="S9" s="17">
        <f>CAPEX!F22</f>
        <v>0</v>
      </c>
      <c r="T9" s="17">
        <f>CAPEX!F23</f>
        <v>0</v>
      </c>
      <c r="U9" s="17">
        <f>CAPEX!F24</f>
        <v>0</v>
      </c>
      <c r="V9" s="17">
        <f>CAPEX!F25</f>
        <v>0</v>
      </c>
    </row>
    <row r="10" spans="1:22" ht="15" customHeight="1" x14ac:dyDescent="0.25">
      <c r="A10" s="78" t="s">
        <v>494</v>
      </c>
      <c r="B10" s="79">
        <f t="shared" ref="B10:V10" si="0">SUM(B6:B9)</f>
        <v>0</v>
      </c>
      <c r="C10" s="79">
        <f t="shared" si="0"/>
        <v>2.4785714285714326</v>
      </c>
      <c r="D10" s="79">
        <f t="shared" si="0"/>
        <v>2.4785714285714326</v>
      </c>
      <c r="E10" s="79">
        <f t="shared" si="0"/>
        <v>2.4785714285714326</v>
      </c>
      <c r="F10" s="79">
        <f t="shared" si="0"/>
        <v>2.4785714285714326</v>
      </c>
      <c r="G10" s="79">
        <f t="shared" si="0"/>
        <v>2.4785714285714326</v>
      </c>
      <c r="H10" s="79">
        <f t="shared" si="0"/>
        <v>2.0785714285714327</v>
      </c>
      <c r="I10" s="79">
        <f t="shared" si="0"/>
        <v>2.0785714285714327</v>
      </c>
      <c r="J10" s="79">
        <f t="shared" si="0"/>
        <v>0.65</v>
      </c>
      <c r="K10" s="79">
        <f t="shared" si="0"/>
        <v>0.65</v>
      </c>
      <c r="L10" s="79">
        <f t="shared" si="0"/>
        <v>0.65</v>
      </c>
      <c r="M10" s="79">
        <f t="shared" si="0"/>
        <v>0.65</v>
      </c>
      <c r="N10" s="79">
        <f t="shared" si="0"/>
        <v>0.65</v>
      </c>
      <c r="O10" s="79">
        <f t="shared" si="0"/>
        <v>0.65</v>
      </c>
      <c r="P10" s="79">
        <f t="shared" si="0"/>
        <v>0.65</v>
      </c>
      <c r="Q10" s="79">
        <f t="shared" si="0"/>
        <v>0.65</v>
      </c>
      <c r="R10" s="79">
        <f t="shared" si="0"/>
        <v>0.65</v>
      </c>
      <c r="S10" s="79">
        <f t="shared" si="0"/>
        <v>0.65</v>
      </c>
      <c r="T10" s="79">
        <f t="shared" si="0"/>
        <v>0.65</v>
      </c>
      <c r="U10" s="79">
        <f t="shared" si="0"/>
        <v>0.65</v>
      </c>
      <c r="V10" s="79">
        <f t="shared" si="0"/>
        <v>0.65</v>
      </c>
    </row>
    <row r="11" spans="1:22" ht="15" customHeight="1" x14ac:dyDescent="0.25">
      <c r="A11" s="77" t="s">
        <v>351</v>
      </c>
      <c r="B11" s="17">
        <f>Operations!F5</f>
        <v>0</v>
      </c>
      <c r="C11" s="17">
        <f>Operations!F6</f>
        <v>1.88475025</v>
      </c>
      <c r="D11" s="17">
        <f>Operations!F7</f>
        <v>2.0330198300000002</v>
      </c>
      <c r="E11" s="17">
        <f>Operations!F8</f>
        <v>2.1931823268500001</v>
      </c>
      <c r="F11" s="17">
        <f>Operations!F9</f>
        <v>2.3662086851420008</v>
      </c>
      <c r="G11" s="17">
        <f>Operations!F10</f>
        <v>2.5531503700905653</v>
      </c>
      <c r="H11" s="17">
        <f>Operations!F11</f>
        <v>2.7551461367164665</v>
      </c>
      <c r="I11" s="17">
        <f>Operations!F12</f>
        <v>2.9734293747613285</v>
      </c>
      <c r="J11" s="17">
        <f>Operations!F13</f>
        <v>3.2093360787825986</v>
      </c>
      <c r="K11" s="17">
        <f>Operations!F14</f>
        <v>3.464313497160167</v>
      </c>
      <c r="L11" s="17">
        <f>Operations!F15</f>
        <v>3.739929518401278</v>
      </c>
      <c r="M11" s="17">
        <f>Operations!F16</f>
        <v>4.0378828581917574</v>
      </c>
      <c r="N11" s="17">
        <f>Operations!F17</f>
        <v>4.3600141161445487</v>
      </c>
      <c r="O11" s="17">
        <f>Operations!F18</f>
        <v>4.7083177771799694</v>
      </c>
      <c r="P11" s="17">
        <f>Operations!F19</f>
        <v>5.0849552389780159</v>
      </c>
      <c r="Q11" s="17">
        <f>Operations!F20</f>
        <v>5.4922689540173986</v>
      </c>
      <c r="R11" s="17">
        <f>Operations!F21</f>
        <v>5.932797782408735</v>
      </c>
      <c r="S11" s="17">
        <f>Operations!F22</f>
        <v>6.4092936600946269</v>
      </c>
      <c r="T11" s="17">
        <f>Operations!F23</f>
        <v>6.9247396960865544</v>
      </c>
      <c r="U11" s="17">
        <f>Operations!F24</f>
        <v>7.4823698223017496</v>
      </c>
      <c r="V11" s="17">
        <f>Operations!F25</f>
        <v>8.0856901303226003</v>
      </c>
    </row>
    <row r="12" spans="1:22" ht="15" customHeight="1" x14ac:dyDescent="0.25">
      <c r="A12" s="77" t="s">
        <v>356</v>
      </c>
      <c r="B12" s="17">
        <f>Operations!K5</f>
        <v>0</v>
      </c>
      <c r="C12" s="17">
        <f>Operations!K6</f>
        <v>0.85832136874999987</v>
      </c>
      <c r="D12" s="17">
        <f>Operations!K7</f>
        <v>0.92508716612499997</v>
      </c>
      <c r="E12" s="17">
        <f>Operations!K8</f>
        <v>0.99715444197250014</v>
      </c>
      <c r="F12" s="17">
        <f>Operations!K9</f>
        <v>1.0749522011408876</v>
      </c>
      <c r="G12" s="17">
        <f>Operations!K10</f>
        <v>1.1589447583317152</v>
      </c>
      <c r="H12" s="17">
        <f>Operations!K11</f>
        <v>1.2496346878349971</v>
      </c>
      <c r="I12" s="17">
        <f>Operations!K12</f>
        <v>1.3475660228463011</v>
      </c>
      <c r="J12" s="17">
        <f>Operations!K13</f>
        <v>1.4533277257122017</v>
      </c>
      <c r="K12" s="17">
        <f>Operations!K14</f>
        <v>1.5675574522929154</v>
      </c>
      <c r="L12" s="17">
        <f>Operations!K15</f>
        <v>1.6909456356334025</v>
      </c>
      <c r="M12" s="17">
        <f>Operations!K16</f>
        <v>1.8242399163108634</v>
      </c>
      <c r="N12" s="17">
        <f>Operations!K17</f>
        <v>1.9682499491926391</v>
      </c>
      <c r="O12" s="17">
        <f>Operations!K18</f>
        <v>2.1238526189106381</v>
      </c>
      <c r="P12" s="17">
        <f>Operations!K19</f>
        <v>2.2919976991545949</v>
      </c>
      <c r="Q12" s="17">
        <f>Operations!K20</f>
        <v>2.4737139939263328</v>
      </c>
      <c r="R12" s="17">
        <f>Operations!K21</f>
        <v>2.6701160022021777</v>
      </c>
      <c r="S12" s="17">
        <f>Operations!K22</f>
        <v>2.882411151043879</v>
      </c>
      <c r="T12" s="17">
        <f>Operations!K23</f>
        <v>3.1119076461052706</v>
      </c>
      <c r="U12" s="17">
        <f>Operations!K24</f>
        <v>3.3600229927298622</v>
      </c>
      <c r="V12" s="17">
        <f>Operations!K25</f>
        <v>3.6282932454535377</v>
      </c>
    </row>
    <row r="13" spans="1:22" ht="15" customHeight="1" x14ac:dyDescent="0.25">
      <c r="A13" s="78" t="s">
        <v>357</v>
      </c>
      <c r="B13" s="79">
        <f t="shared" ref="B13:V13" si="1">B11-B12</f>
        <v>0</v>
      </c>
      <c r="C13" s="79">
        <f t="shared" si="1"/>
        <v>1.0264288812500002</v>
      </c>
      <c r="D13" s="79">
        <f t="shared" si="1"/>
        <v>1.1079326638750002</v>
      </c>
      <c r="E13" s="79">
        <f t="shared" si="1"/>
        <v>1.1960278848775001</v>
      </c>
      <c r="F13" s="79">
        <f t="shared" si="1"/>
        <v>1.2912564840011131</v>
      </c>
      <c r="G13" s="79">
        <f t="shared" si="1"/>
        <v>1.3942056117588502</v>
      </c>
      <c r="H13" s="79">
        <f t="shared" si="1"/>
        <v>1.5055114488814694</v>
      </c>
      <c r="I13" s="79">
        <f t="shared" si="1"/>
        <v>1.6258633519150274</v>
      </c>
      <c r="J13" s="79">
        <f t="shared" si="1"/>
        <v>1.7560083530703969</v>
      </c>
      <c r="K13" s="79">
        <f t="shared" si="1"/>
        <v>1.8967560448672516</v>
      </c>
      <c r="L13" s="79">
        <f t="shared" si="1"/>
        <v>2.0489838827678755</v>
      </c>
      <c r="M13" s="79">
        <f t="shared" si="1"/>
        <v>2.2136429418808943</v>
      </c>
      <c r="N13" s="79">
        <f t="shared" si="1"/>
        <v>2.3917641669519094</v>
      </c>
      <c r="O13" s="79">
        <f t="shared" si="1"/>
        <v>2.5844651582693312</v>
      </c>
      <c r="P13" s="79">
        <f t="shared" si="1"/>
        <v>2.792957539823421</v>
      </c>
      <c r="Q13" s="79">
        <f t="shared" si="1"/>
        <v>3.0185549600910657</v>
      </c>
      <c r="R13" s="79">
        <f t="shared" si="1"/>
        <v>3.2626817802065573</v>
      </c>
      <c r="S13" s="79">
        <f t="shared" si="1"/>
        <v>3.5268825090507478</v>
      </c>
      <c r="T13" s="79">
        <f t="shared" si="1"/>
        <v>3.8128320499812838</v>
      </c>
      <c r="U13" s="79">
        <f t="shared" si="1"/>
        <v>4.122346829571887</v>
      </c>
      <c r="V13" s="79">
        <f t="shared" si="1"/>
        <v>4.4573968848690626</v>
      </c>
    </row>
    <row r="14" spans="1:22" ht="15" customHeight="1" x14ac:dyDescent="0.25">
      <c r="A14" s="77" t="s">
        <v>362</v>
      </c>
      <c r="B14" s="17">
        <f>B11*Inputs!$B$52</f>
        <v>0</v>
      </c>
      <c r="C14" s="17">
        <f>C11*Inputs!$B$52</f>
        <v>4.7118756250000005E-2</v>
      </c>
      <c r="D14" s="17">
        <f>D11*Inputs!$B$52</f>
        <v>5.0825495750000005E-2</v>
      </c>
      <c r="E14" s="17">
        <f>E11*Inputs!$B$52</f>
        <v>5.4829558171250008E-2</v>
      </c>
      <c r="F14" s="17">
        <f>F11*Inputs!$B$52</f>
        <v>5.9155217128550021E-2</v>
      </c>
      <c r="G14" s="17">
        <f>G11*Inputs!$B$52</f>
        <v>6.3828759252264139E-2</v>
      </c>
      <c r="H14" s="17">
        <f>H11*Inputs!$B$52</f>
        <v>6.8878653417911662E-2</v>
      </c>
      <c r="I14" s="17">
        <f>I11*Inputs!$B$52</f>
        <v>7.4335734369033221E-2</v>
      </c>
      <c r="J14" s="17">
        <f>J11*Inputs!$B$52</f>
        <v>8.0233401969564966E-2</v>
      </c>
      <c r="K14" s="17">
        <f>K11*Inputs!$B$52</f>
        <v>8.6607837429004186E-2</v>
      </c>
      <c r="L14" s="17">
        <f>L11*Inputs!$B$52</f>
        <v>9.3498237960031955E-2</v>
      </c>
      <c r="M14" s="17">
        <f>M11*Inputs!$B$52</f>
        <v>0.10094707145479394</v>
      </c>
      <c r="N14" s="17">
        <f>N11*Inputs!$B$52</f>
        <v>0.10900035290361372</v>
      </c>
      <c r="O14" s="17">
        <f>O11*Inputs!$B$52</f>
        <v>0.11770794442949924</v>
      </c>
      <c r="P14" s="17">
        <f>P11*Inputs!$B$52</f>
        <v>0.1271238809744504</v>
      </c>
      <c r="Q14" s="17">
        <f>Q11*Inputs!$B$52</f>
        <v>0.13730672385043496</v>
      </c>
      <c r="R14" s="17">
        <f>R11*Inputs!$B$52</f>
        <v>0.14831994456021838</v>
      </c>
      <c r="S14" s="17">
        <f>S11*Inputs!$B$52</f>
        <v>0.16023234150236568</v>
      </c>
      <c r="T14" s="17">
        <f>T11*Inputs!$B$52</f>
        <v>0.17311849240216387</v>
      </c>
      <c r="U14" s="17">
        <f>U11*Inputs!$B$52</f>
        <v>0.18705924555754375</v>
      </c>
      <c r="V14" s="17">
        <f>V11*Inputs!$B$52</f>
        <v>0.20214225325806501</v>
      </c>
    </row>
    <row r="15" spans="1:22" ht="15" customHeight="1" x14ac:dyDescent="0.25">
      <c r="A15" s="77" t="s">
        <v>495</v>
      </c>
      <c r="B15" s="17">
        <v>0</v>
      </c>
      <c r="C15" s="17">
        <f>MAX(0,(C11-B11)*Inputs!$B$73)</f>
        <v>1.8847502499999998E-2</v>
      </c>
      <c r="D15" s="17">
        <f>MAX(0,(D11-C11)*Inputs!$B$73)</f>
        <v>1.4826958000000025E-3</v>
      </c>
      <c r="E15" s="17">
        <f>MAX(0,(E11-D11)*Inputs!$B$73)</f>
        <v>1.6016249684999994E-3</v>
      </c>
      <c r="F15" s="17">
        <f>MAX(0,(F11-E11)*Inputs!$B$73)</f>
        <v>1.7302635829200064E-3</v>
      </c>
      <c r="G15" s="17">
        <f>MAX(0,(G11-F11)*Inputs!$B$73)</f>
        <v>1.8694168494856455E-3</v>
      </c>
      <c r="H15" s="17">
        <f>MAX(0,(H11-G11)*Inputs!$B$73)</f>
        <v>2.0199576662590112E-3</v>
      </c>
      <c r="I15" s="17">
        <f>MAX(0,(I11-H11)*Inputs!$B$73)</f>
        <v>2.1828323804486205E-3</v>
      </c>
      <c r="J15" s="17">
        <f>MAX(0,(J11-I11)*Inputs!$B$73)</f>
        <v>2.3590670402127011E-3</v>
      </c>
      <c r="K15" s="17">
        <f>MAX(0,(K11-J11)*Inputs!$B$73)</f>
        <v>2.5497741837756838E-3</v>
      </c>
      <c r="L15" s="17">
        <f>MAX(0,(L11-K11)*Inputs!$B$73)</f>
        <v>2.7561602124111097E-3</v>
      </c>
      <c r="M15" s="17">
        <f>MAX(0,(M11-L11)*Inputs!$B$73)</f>
        <v>2.9795333979047945E-3</v>
      </c>
      <c r="N15" s="17">
        <f>MAX(0,(N11-M11)*Inputs!$B$73)</f>
        <v>3.2213125795279131E-3</v>
      </c>
      <c r="O15" s="17">
        <f>MAX(0,(O11-N11)*Inputs!$B$73)</f>
        <v>3.4830366103542065E-3</v>
      </c>
      <c r="P15" s="17">
        <f>MAX(0,(P11-O11)*Inputs!$B$73)</f>
        <v>3.7663746179804657E-3</v>
      </c>
      <c r="Q15" s="17">
        <f>MAX(0,(Q11-P11)*Inputs!$B$73)</f>
        <v>4.073137150393826E-3</v>
      </c>
      <c r="R15" s="17">
        <f>MAX(0,(R11-Q11)*Inputs!$B$73)</f>
        <v>4.4052882839133644E-3</v>
      </c>
      <c r="S15" s="17">
        <f>MAX(0,(S11-R11)*Inputs!$B$73)</f>
        <v>4.7649587768589189E-3</v>
      </c>
      <c r="T15" s="17">
        <f>MAX(0,(T11-S11)*Inputs!$B$73)</f>
        <v>5.1544603599192754E-3</v>
      </c>
      <c r="U15" s="17">
        <f>MAX(0,(U11-T11)*Inputs!$B$73)</f>
        <v>5.5763012621519526E-3</v>
      </c>
      <c r="V15" s="17">
        <f>MAX(0,(V11-U11)*Inputs!$B$73)</f>
        <v>6.0332030802085074E-3</v>
      </c>
    </row>
    <row r="16" spans="1:22" ht="15" customHeight="1" x14ac:dyDescent="0.25">
      <c r="A16" s="77" t="s">
        <v>496</v>
      </c>
      <c r="B16" s="17">
        <f>MAX(0,(B13-B14)*Inputs!$B$53)</f>
        <v>0</v>
      </c>
      <c r="C16" s="17">
        <f>MAX(0,(C13-C14)*Inputs!$B$53)</f>
        <v>0.2644137337500001</v>
      </c>
      <c r="D16" s="17">
        <f>MAX(0,(D13-D14)*Inputs!$B$53)</f>
        <v>0.28541893539375007</v>
      </c>
      <c r="E16" s="17">
        <f>MAX(0,(E13-E14)*Inputs!$B$53)</f>
        <v>0.3081235482106876</v>
      </c>
      <c r="F16" s="17">
        <f>MAX(0,(F13-F14)*Inputs!$B$53)</f>
        <v>0.33266734205559206</v>
      </c>
      <c r="G16" s="17">
        <f>MAX(0,(G13-G14)*Inputs!$B$53)</f>
        <v>0.35920175017677825</v>
      </c>
      <c r="H16" s="17">
        <f>MAX(0,(H13-H14)*Inputs!$B$53)</f>
        <v>0.38789085477516055</v>
      </c>
      <c r="I16" s="17">
        <f>MAX(0,(I13-I14)*Inputs!$B$53)</f>
        <v>0.41891245673741845</v>
      </c>
      <c r="J16" s="17">
        <f>MAX(0,(J13-J14)*Inputs!$B$53)</f>
        <v>0.45245923679722466</v>
      </c>
      <c r="K16" s="17">
        <f>MAX(0,(K13-K14)*Inputs!$B$53)</f>
        <v>0.48874001600832684</v>
      </c>
      <c r="L16" s="17">
        <f>MAX(0,(L13-L14)*Inputs!$B$53)</f>
        <v>0.52798112409811782</v>
      </c>
      <c r="M16" s="17">
        <f>MAX(0,(M13-M14)*Inputs!$B$53)</f>
        <v>0.57042788501504715</v>
      </c>
      <c r="N16" s="17">
        <f>MAX(0,(N13-N14)*Inputs!$B$53)</f>
        <v>0.61634622979303988</v>
      </c>
      <c r="O16" s="17">
        <f>MAX(0,(O13-O14)*Inputs!$B$53)</f>
        <v>0.66602444773675462</v>
      </c>
      <c r="P16" s="17">
        <f>MAX(0,(P13-P14)*Inputs!$B$53)</f>
        <v>0.71977508788922206</v>
      </c>
      <c r="Q16" s="17">
        <f>MAX(0,(Q13-Q14)*Inputs!$B$53)</f>
        <v>0.77793702378497043</v>
      </c>
      <c r="R16" s="17">
        <f>MAX(0,(R13-R14)*Inputs!$B$53)</f>
        <v>0.84087769562451153</v>
      </c>
      <c r="S16" s="17">
        <f>MAX(0,(S13-S14)*Inputs!$B$53)</f>
        <v>0.90899554523806325</v>
      </c>
      <c r="T16" s="17">
        <f>MAX(0,(T13-T14)*Inputs!$B$53)</f>
        <v>0.98272266054636237</v>
      </c>
      <c r="U16" s="17">
        <f>MAX(0,(U13-U14)*Inputs!$B$53)</f>
        <v>1.0625276476838728</v>
      </c>
      <c r="V16" s="17">
        <f>MAX(0,(V13-V14)*Inputs!$B$53)</f>
        <v>1.1489187505349694</v>
      </c>
    </row>
    <row r="17" spans="1:22" ht="15" customHeight="1" x14ac:dyDescent="0.25">
      <c r="A17" s="78" t="s">
        <v>382</v>
      </c>
      <c r="B17" s="79">
        <f t="shared" ref="B17:V17" si="2">B13-B14-B15-B16</f>
        <v>0</v>
      </c>
      <c r="C17" s="79">
        <f t="shared" si="2"/>
        <v>0.69604888875000015</v>
      </c>
      <c r="D17" s="79">
        <f t="shared" si="2"/>
        <v>0.77020553693125005</v>
      </c>
      <c r="E17" s="79">
        <f t="shared" si="2"/>
        <v>0.83147315352706253</v>
      </c>
      <c r="F17" s="79">
        <f t="shared" si="2"/>
        <v>0.89770366123405099</v>
      </c>
      <c r="G17" s="79">
        <f t="shared" si="2"/>
        <v>0.96930568548032203</v>
      </c>
      <c r="H17" s="79">
        <f t="shared" si="2"/>
        <v>1.0467219830221381</v>
      </c>
      <c r="I17" s="79">
        <f t="shared" si="2"/>
        <v>1.130432328428127</v>
      </c>
      <c r="J17" s="79">
        <f t="shared" si="2"/>
        <v>1.2209566472633946</v>
      </c>
      <c r="K17" s="79">
        <f t="shared" si="2"/>
        <v>1.3188584172461448</v>
      </c>
      <c r="L17" s="79">
        <f t="shared" si="2"/>
        <v>1.4247483604973146</v>
      </c>
      <c r="M17" s="79">
        <f t="shared" si="2"/>
        <v>1.5392884520131487</v>
      </c>
      <c r="N17" s="79">
        <f t="shared" si="2"/>
        <v>1.6631962716757278</v>
      </c>
      <c r="O17" s="79">
        <f t="shared" si="2"/>
        <v>1.797249729492723</v>
      </c>
      <c r="P17" s="79">
        <f t="shared" si="2"/>
        <v>1.9422921963417683</v>
      </c>
      <c r="Q17" s="79">
        <f t="shared" si="2"/>
        <v>2.0992380753052666</v>
      </c>
      <c r="R17" s="79">
        <f t="shared" si="2"/>
        <v>2.2690788517379139</v>
      </c>
      <c r="S17" s="79">
        <f t="shared" si="2"/>
        <v>2.4528896635334601</v>
      </c>
      <c r="T17" s="79">
        <f t="shared" si="2"/>
        <v>2.6518364366728382</v>
      </c>
      <c r="U17" s="79">
        <f t="shared" si="2"/>
        <v>2.8671836350683186</v>
      </c>
      <c r="V17" s="79">
        <f t="shared" si="2"/>
        <v>3.1003026779958196</v>
      </c>
    </row>
    <row r="18" spans="1:22" ht="15" customHeight="1" x14ac:dyDescent="0.25">
      <c r="A18" s="77" t="s">
        <v>365</v>
      </c>
      <c r="B18" s="17">
        <f>IF(B$5=20,IF(Inputs!$B$62=1,B13*Inputs!$B$60*(1-Inputs!$B$61),0),0)</f>
        <v>0</v>
      </c>
      <c r="C18" s="17">
        <f>IF(C$5=20,IF(Inputs!$B$62=1,C13*Inputs!$B$60*(1-Inputs!$B$61),0),0)</f>
        <v>0</v>
      </c>
      <c r="D18" s="17">
        <f>IF(D$5=20,IF(Inputs!$B$62=1,D13*Inputs!$B$60*(1-Inputs!$B$61),0),0)</f>
        <v>0</v>
      </c>
      <c r="E18" s="17">
        <f>IF(E$5=20,IF(Inputs!$B$62=1,E13*Inputs!$B$60*(1-Inputs!$B$61),0),0)</f>
        <v>0</v>
      </c>
      <c r="F18" s="17">
        <f>IF(F$5=20,IF(Inputs!$B$62=1,F13*Inputs!$B$60*(1-Inputs!$B$61),0),0)</f>
        <v>0</v>
      </c>
      <c r="G18" s="17">
        <f>IF(G$5=20,IF(Inputs!$B$62=1,G13*Inputs!$B$60*(1-Inputs!$B$61),0),0)</f>
        <v>0</v>
      </c>
      <c r="H18" s="17">
        <f>IF(H$5=20,IF(Inputs!$B$62=1,H13*Inputs!$B$60*(1-Inputs!$B$61),0),0)</f>
        <v>0</v>
      </c>
      <c r="I18" s="17">
        <f>IF(I$5=20,IF(Inputs!$B$62=1,I13*Inputs!$B$60*(1-Inputs!$B$61),0),0)</f>
        <v>0</v>
      </c>
      <c r="J18" s="17">
        <f>IF(J$5=20,IF(Inputs!$B$62=1,J13*Inputs!$B$60*(1-Inputs!$B$61),0),0)</f>
        <v>0</v>
      </c>
      <c r="K18" s="17">
        <f>IF(K$5=20,IF(Inputs!$B$62=1,K13*Inputs!$B$60*(1-Inputs!$B$61),0),0)</f>
        <v>0</v>
      </c>
      <c r="L18" s="17">
        <f>IF(L$5=20,IF(Inputs!$B$62=1,L13*Inputs!$B$60*(1-Inputs!$B$61),0),0)</f>
        <v>0</v>
      </c>
      <c r="M18" s="17">
        <f>IF(M$5=20,IF(Inputs!$B$62=1,M13*Inputs!$B$60*(1-Inputs!$B$61),0),0)</f>
        <v>0</v>
      </c>
      <c r="N18" s="17">
        <f>IF(N$5=20,IF(Inputs!$B$62=1,N13*Inputs!$B$60*(1-Inputs!$B$61),0),0)</f>
        <v>0</v>
      </c>
      <c r="O18" s="17">
        <f>IF(O$5=20,IF(Inputs!$B$62=1,O13*Inputs!$B$60*(1-Inputs!$B$61),0),0)</f>
        <v>0</v>
      </c>
      <c r="P18" s="17">
        <f>IF(P$5=20,IF(Inputs!$B$62=1,P13*Inputs!$B$60*(1-Inputs!$B$61),0),0)</f>
        <v>0</v>
      </c>
      <c r="Q18" s="17">
        <f>IF(Q$5=20,IF(Inputs!$B$62=1,Q13*Inputs!$B$60*(1-Inputs!$B$61),0),0)</f>
        <v>0</v>
      </c>
      <c r="R18" s="17">
        <f>IF(R$5=20,IF(Inputs!$B$62=1,R13*Inputs!$B$60*(1-Inputs!$B$61),0),0)</f>
        <v>0</v>
      </c>
      <c r="S18" s="17">
        <f>IF(S$5=20,IF(Inputs!$B$62=1,S13*Inputs!$B$60*(1-Inputs!$B$61),0),0)</f>
        <v>0</v>
      </c>
      <c r="T18" s="17">
        <f>IF(T$5=20,IF(Inputs!$B$62=1,T13*Inputs!$B$60*(1-Inputs!$B$61),0),0)</f>
        <v>0</v>
      </c>
      <c r="U18" s="17">
        <f>IF(U$5=20,IF(Inputs!$B$62=1,U13*Inputs!$B$60*(1-Inputs!$B$61),0),0)</f>
        <v>0</v>
      </c>
      <c r="V18" s="17">
        <f>IF(V$5=20,IF(Inputs!$B$62=1,V13*Inputs!$B$60*(1-Inputs!$B$61),0),0)</f>
        <v>60.620597634219251</v>
      </c>
    </row>
    <row r="19" spans="1:22" ht="15" customHeight="1" x14ac:dyDescent="0.25">
      <c r="A19" s="78" t="s">
        <v>497</v>
      </c>
      <c r="B19" s="79">
        <f t="shared" ref="B19:V19" si="3">B17-B10+B18</f>
        <v>0</v>
      </c>
      <c r="C19" s="79">
        <f t="shared" si="3"/>
        <v>-1.7825225398214326</v>
      </c>
      <c r="D19" s="79">
        <f t="shared" si="3"/>
        <v>-1.7083658916401827</v>
      </c>
      <c r="E19" s="79">
        <f t="shared" si="3"/>
        <v>-1.6470982750443701</v>
      </c>
      <c r="F19" s="79">
        <f t="shared" si="3"/>
        <v>-1.5808677673373817</v>
      </c>
      <c r="G19" s="79">
        <f t="shared" si="3"/>
        <v>-1.5092657430911105</v>
      </c>
      <c r="H19" s="79">
        <f t="shared" si="3"/>
        <v>-1.0318494455492946</v>
      </c>
      <c r="I19" s="79">
        <f t="shared" si="3"/>
        <v>-0.94813910014330571</v>
      </c>
      <c r="J19" s="79">
        <f t="shared" si="3"/>
        <v>0.57095664726339457</v>
      </c>
      <c r="K19" s="79">
        <f t="shared" si="3"/>
        <v>0.66885841724614481</v>
      </c>
      <c r="L19" s="79">
        <f t="shared" si="3"/>
        <v>0.77474836049731455</v>
      </c>
      <c r="M19" s="79">
        <f t="shared" si="3"/>
        <v>0.88928845201314866</v>
      </c>
      <c r="N19" s="79">
        <f t="shared" si="3"/>
        <v>1.0131962716757279</v>
      </c>
      <c r="O19" s="79">
        <f t="shared" si="3"/>
        <v>1.1472497294927231</v>
      </c>
      <c r="P19" s="79">
        <f t="shared" si="3"/>
        <v>1.2922921963417684</v>
      </c>
      <c r="Q19" s="79">
        <f t="shared" si="3"/>
        <v>1.4492380753052667</v>
      </c>
      <c r="R19" s="79">
        <f t="shared" si="3"/>
        <v>1.619078851737914</v>
      </c>
      <c r="S19" s="79">
        <f t="shared" si="3"/>
        <v>1.8028896635334601</v>
      </c>
      <c r="T19" s="79">
        <f t="shared" si="3"/>
        <v>2.0018364366728383</v>
      </c>
      <c r="U19" s="79">
        <f t="shared" si="3"/>
        <v>2.2171836350683187</v>
      </c>
      <c r="V19" s="79">
        <f t="shared" si="3"/>
        <v>63.070900312215073</v>
      </c>
    </row>
    <row r="20" spans="1:22" ht="15" customHeight="1" x14ac:dyDescent="0.25">
      <c r="A20" s="77" t="s">
        <v>375</v>
      </c>
      <c r="B20" s="17">
        <f>'Debt Service'!B7</f>
        <v>0</v>
      </c>
      <c r="C20" s="17">
        <f>'Debt Service'!C7</f>
        <v>1.6110714285714314</v>
      </c>
      <c r="D20" s="17">
        <f>'Debt Service'!D7</f>
        <v>1.6110714285714314</v>
      </c>
      <c r="E20" s="17">
        <f>'Debt Service'!E7</f>
        <v>1.6110714285714314</v>
      </c>
      <c r="F20" s="17">
        <f>'Debt Service'!F7</f>
        <v>1.6110714285714314</v>
      </c>
      <c r="G20" s="17">
        <f>'Debt Service'!G7</f>
        <v>1.6110714285714314</v>
      </c>
      <c r="H20" s="17">
        <f>'Debt Service'!H7</f>
        <v>1.3510714285714314</v>
      </c>
      <c r="I20" s="17">
        <f>'Debt Service'!I7</f>
        <v>1.3510714285714314</v>
      </c>
      <c r="J20" s="17">
        <f>'Debt Service'!J7</f>
        <v>0.42250000000000004</v>
      </c>
      <c r="K20" s="17">
        <f>'Debt Service'!K7</f>
        <v>0.42250000000000004</v>
      </c>
      <c r="L20" s="17">
        <f>'Debt Service'!L7</f>
        <v>0.42250000000000004</v>
      </c>
      <c r="M20" s="17">
        <f>'Debt Service'!M7</f>
        <v>0.42250000000000004</v>
      </c>
      <c r="N20" s="17">
        <f>'Debt Service'!N7</f>
        <v>0.42250000000000004</v>
      </c>
      <c r="O20" s="17">
        <f>'Debt Service'!O7</f>
        <v>0.42250000000000004</v>
      </c>
      <c r="P20" s="17">
        <f>'Debt Service'!P7</f>
        <v>0.42250000000000004</v>
      </c>
      <c r="Q20" s="17">
        <f>'Debt Service'!Q7</f>
        <v>0.42250000000000004</v>
      </c>
      <c r="R20" s="17">
        <f>'Debt Service'!R7</f>
        <v>0.42250000000000004</v>
      </c>
      <c r="S20" s="17">
        <f>'Debt Service'!S7</f>
        <v>0.42250000000000004</v>
      </c>
      <c r="T20" s="17">
        <f>'Debt Service'!T7</f>
        <v>0.42250000000000004</v>
      </c>
      <c r="U20" s="17">
        <f>'Debt Service'!U7</f>
        <v>0.42250000000000004</v>
      </c>
      <c r="V20" s="17">
        <f>'Debt Service'!V7</f>
        <v>0.42250000000000004</v>
      </c>
    </row>
    <row r="21" spans="1:22" ht="15" customHeight="1" x14ac:dyDescent="0.25">
      <c r="A21" s="77" t="s">
        <v>498</v>
      </c>
      <c r="B21" s="17">
        <f>'Debt Service'!B10</f>
        <v>0</v>
      </c>
      <c r="C21" s="17">
        <f>'Debt Service'!C10</f>
        <v>0</v>
      </c>
      <c r="D21" s="17">
        <f>'Debt Service'!D10</f>
        <v>0</v>
      </c>
      <c r="E21" s="17">
        <f>'Debt Service'!E10</f>
        <v>0</v>
      </c>
      <c r="F21" s="17">
        <f>'Debt Service'!F10</f>
        <v>0</v>
      </c>
      <c r="G21" s="17">
        <f>'Debt Service'!G10</f>
        <v>0</v>
      </c>
      <c r="H21" s="17">
        <f>'Debt Service'!H10</f>
        <v>0</v>
      </c>
      <c r="I21" s="17">
        <f>'Debt Service'!I10</f>
        <v>0</v>
      </c>
      <c r="J21" s="17">
        <f>'Debt Service'!J10</f>
        <v>0.73408904357539329</v>
      </c>
      <c r="K21" s="17">
        <f>'Debt Service'!K10</f>
        <v>0.70175190560805523</v>
      </c>
      <c r="L21" s="17">
        <f>'Debt Service'!L10</f>
        <v>0.67190223979205099</v>
      </c>
      <c r="M21" s="17">
        <f>'Debt Service'!M10</f>
        <v>0.64434870211573936</v>
      </c>
      <c r="N21" s="17">
        <f>'Debt Service'!N10</f>
        <v>0.61891466733760547</v>
      </c>
      <c r="O21" s="17">
        <f>'Debt Service'!O10</f>
        <v>0.59543709677317425</v>
      </c>
      <c r="P21" s="17">
        <f>'Debt Service'!P10</f>
        <v>0.57376549317523773</v>
      </c>
      <c r="Q21" s="17">
        <f>'Debt Service'!Q10</f>
        <v>0.55376093600791176</v>
      </c>
      <c r="R21" s="17">
        <f>'Debt Service'!R10</f>
        <v>0.53529519093038003</v>
      </c>
      <c r="S21" s="17">
        <f>'Debt Service'!S10</f>
        <v>0.5182498877818893</v>
      </c>
      <c r="T21" s="17">
        <f>'Debt Service'!T10</f>
        <v>0.50251576179866697</v>
      </c>
      <c r="U21" s="17">
        <f>'Debt Service'!U10</f>
        <v>0.48799195319876948</v>
      </c>
      <c r="V21" s="17">
        <f>'Debt Service'!V10</f>
        <v>0.47458536064501794</v>
      </c>
    </row>
    <row r="22" spans="1:22" ht="15" customHeight="1" x14ac:dyDescent="0.25">
      <c r="A22" s="77" t="s">
        <v>499</v>
      </c>
      <c r="B22" s="17">
        <f>'Debt Service'!B11</f>
        <v>0</v>
      </c>
      <c r="C22" s="17">
        <f>'Debt Service'!C11</f>
        <v>0</v>
      </c>
      <c r="D22" s="17">
        <f>'Debt Service'!D11</f>
        <v>0</v>
      </c>
      <c r="E22" s="17">
        <f>'Debt Service'!E11</f>
        <v>0</v>
      </c>
      <c r="F22" s="17">
        <f>'Debt Service'!F11</f>
        <v>0</v>
      </c>
      <c r="G22" s="17">
        <f>'Debt Service'!G11</f>
        <v>0</v>
      </c>
      <c r="H22" s="17">
        <f>'Debt Service'!H11</f>
        <v>0</v>
      </c>
      <c r="I22" s="17">
        <f>'Debt Service'!I11</f>
        <v>0</v>
      </c>
      <c r="J22" s="17">
        <f>'Debt Service'!J11</f>
        <v>1.0104479630425081</v>
      </c>
      <c r="K22" s="17">
        <f>'Debt Service'!K11</f>
        <v>0.9652211966546228</v>
      </c>
      <c r="L22" s="17">
        <f>'Debt Service'!L11</f>
        <v>0.92347341229657487</v>
      </c>
      <c r="M22" s="17">
        <f>'Debt Service'!M11</f>
        <v>0.88493699596606901</v>
      </c>
      <c r="N22" s="17">
        <f>'Debt Service'!N11</f>
        <v>0.8493649193532945</v>
      </c>
      <c r="O22" s="17">
        <f>'Debt Service'!O11</f>
        <v>0.81652915632611789</v>
      </c>
      <c r="P22" s="17">
        <f>'Debt Service'!P11</f>
        <v>0.78621922122410881</v>
      </c>
      <c r="Q22" s="17">
        <f>'Debt Service'!Q11</f>
        <v>0.75824081959148504</v>
      </c>
      <c r="R22" s="17">
        <f>'Debt Service'!R11</f>
        <v>0.73241460269983227</v>
      </c>
      <c r="S22" s="17">
        <f>'Debt Service'!S11</f>
        <v>0.70857501787676824</v>
      </c>
      <c r="T22" s="17">
        <f>'Debt Service'!T11</f>
        <v>0.68656924727086299</v>
      </c>
      <c r="U22" s="17">
        <f>'Debt Service'!U11</f>
        <v>0.66625622825002728</v>
      </c>
      <c r="V22" s="17">
        <f>'Debt Service'!V11</f>
        <v>0.64750574915387127</v>
      </c>
    </row>
    <row r="23" spans="1:22" ht="15" customHeight="1" x14ac:dyDescent="0.25">
      <c r="A23" s="77" t="s">
        <v>500</v>
      </c>
      <c r="B23" s="17">
        <f>'Debt Service'!B13</f>
        <v>0</v>
      </c>
      <c r="C23" s="17">
        <f>'Debt Service'!C13</f>
        <v>0</v>
      </c>
      <c r="D23" s="17">
        <f>'Debt Service'!D13</f>
        <v>0</v>
      </c>
      <c r="E23" s="17">
        <f>'Debt Service'!E13</f>
        <v>0</v>
      </c>
      <c r="F23" s="17">
        <f>'Debt Service'!F13</f>
        <v>0</v>
      </c>
      <c r="G23" s="17">
        <f>'Debt Service'!G13</f>
        <v>0</v>
      </c>
      <c r="H23" s="17">
        <f>'Debt Service'!H13</f>
        <v>0</v>
      </c>
      <c r="I23" s="17">
        <f>'Debt Service'!I13</f>
        <v>0</v>
      </c>
      <c r="J23" s="17">
        <f>'Debt Service'!J13</f>
        <v>1.7445370066179013</v>
      </c>
      <c r="K23" s="17">
        <f>'Debt Service'!K13</f>
        <v>1.6669731022626779</v>
      </c>
      <c r="L23" s="17">
        <f>'Debt Service'!L13</f>
        <v>1.595375652088626</v>
      </c>
      <c r="M23" s="17">
        <f>'Debt Service'!M13</f>
        <v>1.5292856980818084</v>
      </c>
      <c r="N23" s="17">
        <f>'Debt Service'!N13</f>
        <v>1.4682795866909</v>
      </c>
      <c r="O23" s="17">
        <f>'Debt Service'!O13</f>
        <v>1.4119662530992922</v>
      </c>
      <c r="P23" s="17">
        <f>'Debt Service'!P13</f>
        <v>1.3599847143993467</v>
      </c>
      <c r="Q23" s="17">
        <f>'Debt Service'!Q13</f>
        <v>1.3120017555993968</v>
      </c>
      <c r="R23" s="17">
        <f>'Debt Service'!R13</f>
        <v>1.2677097936302122</v>
      </c>
      <c r="S23" s="17">
        <f>'Debt Service'!S13</f>
        <v>1.2268249056586575</v>
      </c>
      <c r="T23" s="17">
        <f>'Debt Service'!T13</f>
        <v>1.18908500906953</v>
      </c>
      <c r="U23" s="17">
        <f>'Debt Service'!U13</f>
        <v>1.1542481814487968</v>
      </c>
      <c r="V23" s="17">
        <f>'Debt Service'!V13</f>
        <v>1.1220911097988893</v>
      </c>
    </row>
    <row r="24" spans="1:22" ht="15" customHeight="1" x14ac:dyDescent="0.25">
      <c r="A24" s="78" t="s">
        <v>501</v>
      </c>
      <c r="B24" s="79">
        <f t="shared" ref="B24:V24" si="4">B17-B10+B18</f>
        <v>0</v>
      </c>
      <c r="C24" s="79">
        <f t="shared" si="4"/>
        <v>-1.7825225398214326</v>
      </c>
      <c r="D24" s="79">
        <f t="shared" si="4"/>
        <v>-1.7083658916401827</v>
      </c>
      <c r="E24" s="79">
        <f t="shared" si="4"/>
        <v>-1.6470982750443701</v>
      </c>
      <c r="F24" s="79">
        <f t="shared" si="4"/>
        <v>-1.5808677673373817</v>
      </c>
      <c r="G24" s="79">
        <f t="shared" si="4"/>
        <v>-1.5092657430911105</v>
      </c>
      <c r="H24" s="79">
        <f t="shared" si="4"/>
        <v>-1.0318494455492946</v>
      </c>
      <c r="I24" s="79">
        <f t="shared" si="4"/>
        <v>-0.94813910014330571</v>
      </c>
      <c r="J24" s="79">
        <f t="shared" si="4"/>
        <v>0.57095664726339457</v>
      </c>
      <c r="K24" s="79">
        <f t="shared" si="4"/>
        <v>0.66885841724614481</v>
      </c>
      <c r="L24" s="79">
        <f t="shared" si="4"/>
        <v>0.77474836049731455</v>
      </c>
      <c r="M24" s="79">
        <f t="shared" si="4"/>
        <v>0.88928845201314866</v>
      </c>
      <c r="N24" s="79">
        <f t="shared" si="4"/>
        <v>1.0131962716757279</v>
      </c>
      <c r="O24" s="79">
        <f t="shared" si="4"/>
        <v>1.1472497294927231</v>
      </c>
      <c r="P24" s="79">
        <f t="shared" si="4"/>
        <v>1.2922921963417684</v>
      </c>
      <c r="Q24" s="79">
        <f t="shared" si="4"/>
        <v>1.4492380753052667</v>
      </c>
      <c r="R24" s="79">
        <f t="shared" si="4"/>
        <v>1.619078851737914</v>
      </c>
      <c r="S24" s="79">
        <f t="shared" si="4"/>
        <v>1.8028896635334601</v>
      </c>
      <c r="T24" s="79">
        <f t="shared" si="4"/>
        <v>2.0018364366728383</v>
      </c>
      <c r="U24" s="79">
        <f t="shared" si="4"/>
        <v>2.2171836350683187</v>
      </c>
      <c r="V24" s="79">
        <f t="shared" si="4"/>
        <v>63.070900312215073</v>
      </c>
    </row>
    <row r="25" spans="1:22" ht="15" customHeight="1" x14ac:dyDescent="0.25">
      <c r="A25" s="77" t="s">
        <v>380</v>
      </c>
      <c r="B25" s="17">
        <f>'Debt Service'!B12</f>
        <v>0</v>
      </c>
      <c r="C25" s="17">
        <f>'Debt Service'!C12</f>
        <v>1.6553758928571458</v>
      </c>
      <c r="D25" s="17">
        <f>'Debt Service'!D12</f>
        <v>3.4017974598214349</v>
      </c>
      <c r="E25" s="17">
        <f>'Debt Service'!E12</f>
        <v>5.2442722129687596</v>
      </c>
      <c r="F25" s="17">
        <f>'Debt Service'!F12</f>
        <v>7.1880830775391873</v>
      </c>
      <c r="G25" s="17">
        <f>'Debt Service'!G12</f>
        <v>9.2388035396609869</v>
      </c>
      <c r="H25" s="17">
        <f>'Debt Service'!H12</f>
        <v>11.135163627199487</v>
      </c>
      <c r="I25" s="17">
        <f>'Debt Service'!I12</f>
        <v>13.135823519552606</v>
      </c>
      <c r="J25" s="17">
        <f>'Debt Service'!J12</f>
        <v>12.547875556510096</v>
      </c>
      <c r="K25" s="17">
        <f>'Debt Service'!K12</f>
        <v>12.005154359855473</v>
      </c>
      <c r="L25" s="17">
        <f>'Debt Service'!L12</f>
        <v>11.504180947558897</v>
      </c>
      <c r="M25" s="17">
        <f>'Debt Service'!M12</f>
        <v>11.041743951592828</v>
      </c>
      <c r="N25" s="17">
        <f>'Debt Service'!N12</f>
        <v>10.614879032239532</v>
      </c>
      <c r="O25" s="17">
        <f>'Debt Service'!O12</f>
        <v>10.220849875913414</v>
      </c>
      <c r="P25" s="17">
        <f>'Debt Service'!P12</f>
        <v>9.8571306546893052</v>
      </c>
      <c r="Q25" s="17">
        <f>'Debt Service'!Q12</f>
        <v>9.5213898350978194</v>
      </c>
      <c r="R25" s="17">
        <f>'Debt Service'!R12</f>
        <v>9.2114752323979872</v>
      </c>
      <c r="S25" s="17">
        <f>'Debt Service'!S12</f>
        <v>8.9254002145212183</v>
      </c>
      <c r="T25" s="17">
        <f>'Debt Service'!T12</f>
        <v>8.661330967250354</v>
      </c>
      <c r="U25" s="17">
        <f>'Debt Service'!U12</f>
        <v>8.4175747390003259</v>
      </c>
      <c r="V25" s="17">
        <f>'Debt Service'!V12</f>
        <v>8.1925689898464533</v>
      </c>
    </row>
    <row r="26" spans="1:22" ht="15" customHeight="1" x14ac:dyDescent="0.25">
      <c r="A26" s="76" t="s">
        <v>502</v>
      </c>
      <c r="B26" s="21" t="str">
        <f t="shared" ref="B26:V26" si="5">IF(B23&gt;0,B17/B23,"")</f>
        <v/>
      </c>
      <c r="C26" s="21" t="str">
        <f t="shared" si="5"/>
        <v/>
      </c>
      <c r="D26" s="21" t="str">
        <f t="shared" si="5"/>
        <v/>
      </c>
      <c r="E26" s="21" t="str">
        <f t="shared" si="5"/>
        <v/>
      </c>
      <c r="F26" s="21" t="str">
        <f t="shared" si="5"/>
        <v/>
      </c>
      <c r="G26" s="21" t="str">
        <f t="shared" si="5"/>
        <v/>
      </c>
      <c r="H26" s="21" t="str">
        <f t="shared" si="5"/>
        <v/>
      </c>
      <c r="I26" s="21" t="str">
        <f t="shared" si="5"/>
        <v/>
      </c>
      <c r="J26" s="21">
        <f t="shared" si="5"/>
        <v>0.6998743177311203</v>
      </c>
      <c r="K26" s="21">
        <f t="shared" si="5"/>
        <v>0.79116958483372224</v>
      </c>
      <c r="L26" s="21">
        <f t="shared" si="5"/>
        <v>0.89304883061996687</v>
      </c>
      <c r="M26" s="21">
        <f t="shared" si="5"/>
        <v>1.0065408013322081</v>
      </c>
      <c r="N26" s="21">
        <f t="shared" si="5"/>
        <v>1.1327517502467745</v>
      </c>
      <c r="O26" s="21">
        <f t="shared" si="5"/>
        <v>1.2728701734533148</v>
      </c>
      <c r="P26" s="21">
        <f t="shared" si="5"/>
        <v>1.4281720785366361</v>
      </c>
      <c r="Q26" s="21">
        <f t="shared" si="5"/>
        <v>1.6000268798010988</v>
      </c>
      <c r="R26" s="21">
        <f t="shared" si="5"/>
        <v>1.7899040167861942</v>
      </c>
      <c r="S26" s="21">
        <f t="shared" si="5"/>
        <v>1.9993803942352744</v>
      </c>
      <c r="T26" s="21">
        <f t="shared" si="5"/>
        <v>2.2301487416344816</v>
      </c>
      <c r="U26" s="21">
        <f t="shared" si="5"/>
        <v>2.4840269892991889</v>
      </c>
      <c r="V26" s="21">
        <f t="shared" si="5"/>
        <v>2.7629687562104315</v>
      </c>
    </row>
    <row r="27" spans="1:22" ht="15" customHeight="1" x14ac:dyDescent="0.25">
      <c r="A27" s="78" t="s">
        <v>384</v>
      </c>
      <c r="B27" s="79">
        <f>B24-B18-'Debt Service'!B17</f>
        <v>-0.40625000000000033</v>
      </c>
      <c r="C27" s="79">
        <f>C24-C18-'Debt Service'!C17</f>
        <v>-2.7272448612500053</v>
      </c>
      <c r="D27" s="79">
        <f>D24-D18-'Debt Service'!D17</f>
        <v>-2.6450328559258982</v>
      </c>
      <c r="E27" s="79">
        <f>E24-E18-'Debt Service'!E17</f>
        <v>-2.5757098821872284</v>
      </c>
      <c r="F27" s="79">
        <f>F24-F18-'Debt Service'!F17</f>
        <v>-2.5014240173373832</v>
      </c>
      <c r="G27" s="79">
        <f>G24-G18-'Debt Service'!G17</f>
        <v>-2.4217666359482548</v>
      </c>
      <c r="H27" s="79">
        <f>H24-H18-'Debt Service'!H17</f>
        <v>-1.7969449812635818</v>
      </c>
      <c r="I27" s="79">
        <f>I24-I18-'Debt Service'!I17</f>
        <v>-1.7064792787147356</v>
      </c>
      <c r="J27" s="79">
        <f>J24-J18-'Debt Service'!J17</f>
        <v>0.31705039726339462</v>
      </c>
      <c r="K27" s="79">
        <f>K24-K18-'Debt Service'!K17</f>
        <v>0.41706466724614488</v>
      </c>
      <c r="L27" s="79">
        <f>L24-L18-'Debt Service'!L17</f>
        <v>0.52506711049731458</v>
      </c>
      <c r="M27" s="79">
        <f>M24-M18-'Debt Service'!M17</f>
        <v>0.64171970201314865</v>
      </c>
      <c r="N27" s="79">
        <f>N24-N18-'Debt Service'!N17</f>
        <v>0.76774002167572797</v>
      </c>
      <c r="O27" s="79">
        <f>O24-O18-'Debt Service'!O17</f>
        <v>0.90390597949272311</v>
      </c>
      <c r="P27" s="79">
        <f>P24-P18-'Debt Service'!P17</f>
        <v>1.0510609463417684</v>
      </c>
      <c r="Q27" s="79">
        <f>Q24-Q18-'Debt Service'!Q17</f>
        <v>1.2101193253052667</v>
      </c>
      <c r="R27" s="79">
        <f>R24-R18-'Debt Service'!R17</f>
        <v>1.3820726017379141</v>
      </c>
      <c r="S27" s="79">
        <f>S24-S18-'Debt Service'!S17</f>
        <v>1.5679959135334602</v>
      </c>
      <c r="T27" s="79">
        <f>T24-T18-'Debt Service'!T17</f>
        <v>1.7690551866728383</v>
      </c>
      <c r="U27" s="79">
        <f>U24-U18-'Debt Service'!U17</f>
        <v>1.9865148850683187</v>
      </c>
      <c r="V27" s="79">
        <f>V24-V18-'Debt Service'!V17</f>
        <v>2.2217464279958219</v>
      </c>
    </row>
    <row r="28" spans="1:22" ht="15" customHeight="1" x14ac:dyDescent="0.25">
      <c r="A28" s="78" t="s">
        <v>503</v>
      </c>
      <c r="B28" s="79">
        <f t="shared" ref="B28:V28" si="6">IF(B$5=20,B18-B25,0)</f>
        <v>0</v>
      </c>
      <c r="C28" s="79">
        <f t="shared" si="6"/>
        <v>0</v>
      </c>
      <c r="D28" s="79">
        <f t="shared" si="6"/>
        <v>0</v>
      </c>
      <c r="E28" s="79">
        <f t="shared" si="6"/>
        <v>0</v>
      </c>
      <c r="F28" s="79">
        <f t="shared" si="6"/>
        <v>0</v>
      </c>
      <c r="G28" s="79">
        <f t="shared" si="6"/>
        <v>0</v>
      </c>
      <c r="H28" s="79">
        <f t="shared" si="6"/>
        <v>0</v>
      </c>
      <c r="I28" s="79">
        <f t="shared" si="6"/>
        <v>0</v>
      </c>
      <c r="J28" s="79">
        <f t="shared" si="6"/>
        <v>0</v>
      </c>
      <c r="K28" s="79">
        <f t="shared" si="6"/>
        <v>0</v>
      </c>
      <c r="L28" s="79">
        <f t="shared" si="6"/>
        <v>0</v>
      </c>
      <c r="M28" s="79">
        <f t="shared" si="6"/>
        <v>0</v>
      </c>
      <c r="N28" s="79">
        <f t="shared" si="6"/>
        <v>0</v>
      </c>
      <c r="O28" s="79">
        <f t="shared" si="6"/>
        <v>0</v>
      </c>
      <c r="P28" s="79">
        <f t="shared" si="6"/>
        <v>0</v>
      </c>
      <c r="Q28" s="79">
        <f t="shared" si="6"/>
        <v>0</v>
      </c>
      <c r="R28" s="79">
        <f t="shared" si="6"/>
        <v>0</v>
      </c>
      <c r="S28" s="79">
        <f t="shared" si="6"/>
        <v>0</v>
      </c>
      <c r="T28" s="79">
        <f t="shared" si="6"/>
        <v>0</v>
      </c>
      <c r="U28" s="79">
        <f t="shared" si="6"/>
        <v>0</v>
      </c>
      <c r="V28" s="79">
        <f t="shared" si="6"/>
        <v>52.428028644372802</v>
      </c>
    </row>
  </sheetData>
  <mergeCells count="2">
    <mergeCell ref="A1:N1"/>
    <mergeCell ref="A2:N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2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customHeight="1" x14ac:dyDescent="0.25"/>
  <cols>
    <col min="1" max="1" width="34" customWidth="1"/>
    <col min="2" max="2" width="14" customWidth="1"/>
    <col min="14" max="22" width="13" customWidth="1"/>
  </cols>
  <sheetData>
    <row r="1" spans="1:22" ht="25.5" customHeight="1" x14ac:dyDescent="0.25">
      <c r="A1" s="13" t="s">
        <v>504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2" ht="31.5" customHeight="1" x14ac:dyDescent="0.25">
      <c r="A2" s="12" t="s">
        <v>505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22" ht="15" customHeight="1" x14ac:dyDescent="0.25">
      <c r="A4" s="75" t="s">
        <v>65</v>
      </c>
      <c r="B4" s="75" t="s">
        <v>142</v>
      </c>
      <c r="C4" s="75" t="s">
        <v>143</v>
      </c>
      <c r="D4" s="75" t="s">
        <v>145</v>
      </c>
      <c r="E4" s="75" t="s">
        <v>147</v>
      </c>
      <c r="F4" s="75" t="s">
        <v>149</v>
      </c>
      <c r="G4" s="75" t="s">
        <v>150</v>
      </c>
      <c r="H4" s="75" t="s">
        <v>151</v>
      </c>
      <c r="I4" s="75" t="s">
        <v>152</v>
      </c>
      <c r="J4" s="75" t="s">
        <v>153</v>
      </c>
      <c r="K4" s="75" t="s">
        <v>154</v>
      </c>
      <c r="L4" s="75" t="s">
        <v>155</v>
      </c>
      <c r="M4" s="75" t="s">
        <v>156</v>
      </c>
      <c r="N4" s="75" t="s">
        <v>157</v>
      </c>
      <c r="O4" s="75" t="s">
        <v>158</v>
      </c>
      <c r="P4" s="75" t="s">
        <v>159</v>
      </c>
      <c r="Q4" s="75" t="s">
        <v>160</v>
      </c>
      <c r="R4" s="75" t="s">
        <v>161</v>
      </c>
      <c r="S4" s="75" t="s">
        <v>162</v>
      </c>
      <c r="T4" s="75" t="s">
        <v>163</v>
      </c>
      <c r="U4" s="75" t="s">
        <v>164</v>
      </c>
      <c r="V4" s="75" t="s">
        <v>157</v>
      </c>
    </row>
    <row r="5" spans="1:22" ht="15" customHeight="1" x14ac:dyDescent="0.25">
      <c r="A5" s="76" t="s">
        <v>198</v>
      </c>
      <c r="B5" s="19">
        <v>0</v>
      </c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19">
        <v>12</v>
      </c>
      <c r="O5" s="19">
        <v>13</v>
      </c>
      <c r="P5" s="19">
        <v>14</v>
      </c>
      <c r="Q5" s="19">
        <v>15</v>
      </c>
      <c r="R5" s="19">
        <v>16</v>
      </c>
      <c r="S5" s="19">
        <v>17</v>
      </c>
      <c r="T5" s="19">
        <v>18</v>
      </c>
      <c r="U5" s="19">
        <v>19</v>
      </c>
      <c r="V5" s="19">
        <v>20</v>
      </c>
    </row>
    <row r="6" spans="1:22" ht="15" customHeight="1" x14ac:dyDescent="0.25">
      <c r="A6" s="77" t="s">
        <v>506</v>
      </c>
      <c r="B6" s="17">
        <f>IF(B5=0,0,CAPEX!G5)</f>
        <v>0</v>
      </c>
      <c r="C6" s="17">
        <f>IF(C5=0,0,CAPEX!G6)</f>
        <v>2.4785714285714326</v>
      </c>
      <c r="D6" s="17">
        <f>IF(D5=0,0,CAPEX!G7)</f>
        <v>2.4785714285714326</v>
      </c>
      <c r="E6" s="17">
        <f>IF(E5=0,0,CAPEX!G8)</f>
        <v>2.4785714285714326</v>
      </c>
      <c r="F6" s="17">
        <f>IF(F5=0,0,CAPEX!G9)</f>
        <v>2.4785714285714326</v>
      </c>
      <c r="G6" s="17">
        <f>IF(G5=0,0,CAPEX!G10)</f>
        <v>2.4785714285714326</v>
      </c>
      <c r="H6" s="17">
        <f>IF(H5=0,0,CAPEX!G11)</f>
        <v>2.0785714285714327</v>
      </c>
      <c r="I6" s="17">
        <f>IF(I5=0,0,CAPEX!G12)</f>
        <v>2.0785714285714327</v>
      </c>
      <c r="J6" s="17">
        <f>IF(J5=0,0,CAPEX!G13)</f>
        <v>0.65</v>
      </c>
      <c r="K6" s="17">
        <f>IF(K5=0,0,CAPEX!G14)</f>
        <v>0.65</v>
      </c>
      <c r="L6" s="17">
        <f>IF(L5=0,0,CAPEX!G15)</f>
        <v>0.65</v>
      </c>
      <c r="M6" s="17">
        <f>IF(M5=0,0,CAPEX!G16)</f>
        <v>0.65</v>
      </c>
      <c r="N6" s="17">
        <f>IF(N5=0,0,CAPEX!G17)</f>
        <v>0.65</v>
      </c>
      <c r="O6" s="17">
        <f>IF(O5=0,0,CAPEX!G18)</f>
        <v>0.65</v>
      </c>
      <c r="P6" s="17">
        <f>IF(P5=0,0,CAPEX!G19)</f>
        <v>0.65</v>
      </c>
      <c r="Q6" s="17">
        <f>IF(Q5=0,0,CAPEX!G20)</f>
        <v>0.65</v>
      </c>
      <c r="R6" s="17">
        <f>IF(R5=0,0,CAPEX!G21)</f>
        <v>0.65</v>
      </c>
      <c r="S6" s="17">
        <f>IF(S5=0,0,CAPEX!G22)</f>
        <v>0.65</v>
      </c>
      <c r="T6" s="17">
        <f>IF(T5=0,0,CAPEX!G23)</f>
        <v>0.65</v>
      </c>
      <c r="U6" s="17">
        <f>IF(U5=0,0,CAPEX!G24)</f>
        <v>0.65</v>
      </c>
      <c r="V6" s="17">
        <f>IF(V5=0,0,CAPEX!G25)</f>
        <v>0.65</v>
      </c>
    </row>
    <row r="7" spans="1:22" ht="15" customHeight="1" x14ac:dyDescent="0.25">
      <c r="A7" s="78" t="s">
        <v>375</v>
      </c>
      <c r="B7" s="79">
        <f>B6*Inputs!$B$55</f>
        <v>0</v>
      </c>
      <c r="C7" s="79">
        <f>C6*Inputs!$B$55</f>
        <v>1.6110714285714314</v>
      </c>
      <c r="D7" s="79">
        <f>D6*Inputs!$B$55</f>
        <v>1.6110714285714314</v>
      </c>
      <c r="E7" s="79">
        <f>E6*Inputs!$B$55</f>
        <v>1.6110714285714314</v>
      </c>
      <c r="F7" s="79">
        <f>F6*Inputs!$B$55</f>
        <v>1.6110714285714314</v>
      </c>
      <c r="G7" s="79">
        <f>G6*Inputs!$B$55</f>
        <v>1.6110714285714314</v>
      </c>
      <c r="H7" s="79">
        <f>H6*Inputs!$B$55</f>
        <v>1.3510714285714314</v>
      </c>
      <c r="I7" s="79">
        <f>I6*Inputs!$B$55</f>
        <v>1.3510714285714314</v>
      </c>
      <c r="J7" s="79">
        <f>J6*Inputs!$B$55</f>
        <v>0.42250000000000004</v>
      </c>
      <c r="K7" s="79">
        <f>K6*Inputs!$B$55</f>
        <v>0.42250000000000004</v>
      </c>
      <c r="L7" s="79">
        <f>L6*Inputs!$B$55</f>
        <v>0.42250000000000004</v>
      </c>
      <c r="M7" s="79">
        <f>M6*Inputs!$B$55</f>
        <v>0.42250000000000004</v>
      </c>
      <c r="N7" s="79">
        <f>N6*Inputs!$B$55</f>
        <v>0.42250000000000004</v>
      </c>
      <c r="O7" s="79">
        <f>O6*Inputs!$B$55</f>
        <v>0.42250000000000004</v>
      </c>
      <c r="P7" s="79">
        <f>P6*Inputs!$B$55</f>
        <v>0.42250000000000004</v>
      </c>
      <c r="Q7" s="79">
        <f>Q6*Inputs!$B$55</f>
        <v>0.42250000000000004</v>
      </c>
      <c r="R7" s="79">
        <f>R6*Inputs!$B$55</f>
        <v>0.42250000000000004</v>
      </c>
      <c r="S7" s="79">
        <f>S6*Inputs!$B$55</f>
        <v>0.42250000000000004</v>
      </c>
      <c r="T7" s="79">
        <f>T6*Inputs!$B$55</f>
        <v>0.42250000000000004</v>
      </c>
      <c r="U7" s="79">
        <f>U6*Inputs!$B$55</f>
        <v>0.42250000000000004</v>
      </c>
      <c r="V7" s="79">
        <f>V6*Inputs!$B$55</f>
        <v>0.42250000000000004</v>
      </c>
    </row>
    <row r="8" spans="1:22" ht="15" customHeight="1" x14ac:dyDescent="0.25">
      <c r="A8" s="77" t="s">
        <v>377</v>
      </c>
      <c r="B8" s="17">
        <v>0</v>
      </c>
      <c r="C8" s="17">
        <f t="shared" ref="C8:V8" si="0">B12</f>
        <v>0</v>
      </c>
      <c r="D8" s="17">
        <f t="shared" si="0"/>
        <v>1.6553758928571458</v>
      </c>
      <c r="E8" s="17">
        <f t="shared" si="0"/>
        <v>3.4017974598214349</v>
      </c>
      <c r="F8" s="17">
        <f t="shared" si="0"/>
        <v>5.2442722129687596</v>
      </c>
      <c r="G8" s="17">
        <f t="shared" si="0"/>
        <v>7.1880830775391873</v>
      </c>
      <c r="H8" s="17">
        <f t="shared" si="0"/>
        <v>9.2388035396609869</v>
      </c>
      <c r="I8" s="17">
        <f t="shared" si="0"/>
        <v>11.135163627199487</v>
      </c>
      <c r="J8" s="17">
        <f t="shared" si="0"/>
        <v>13.135823519552606</v>
      </c>
      <c r="K8" s="17">
        <f t="shared" si="0"/>
        <v>12.547875556510096</v>
      </c>
      <c r="L8" s="17">
        <f t="shared" si="0"/>
        <v>12.005154359855473</v>
      </c>
      <c r="M8" s="17">
        <f t="shared" si="0"/>
        <v>11.504180947558897</v>
      </c>
      <c r="N8" s="17">
        <f t="shared" si="0"/>
        <v>11.041743951592828</v>
      </c>
      <c r="O8" s="17">
        <f t="shared" si="0"/>
        <v>10.614879032239532</v>
      </c>
      <c r="P8" s="17">
        <f t="shared" si="0"/>
        <v>10.220849875913414</v>
      </c>
      <c r="Q8" s="17">
        <f t="shared" si="0"/>
        <v>9.8571306546893052</v>
      </c>
      <c r="R8" s="17">
        <f t="shared" si="0"/>
        <v>9.5213898350978194</v>
      </c>
      <c r="S8" s="17">
        <f t="shared" si="0"/>
        <v>9.2114752323979872</v>
      </c>
      <c r="T8" s="17">
        <f t="shared" si="0"/>
        <v>8.9254002145212183</v>
      </c>
      <c r="U8" s="17">
        <f t="shared" si="0"/>
        <v>8.661330967250354</v>
      </c>
      <c r="V8" s="17">
        <f t="shared" si="0"/>
        <v>8.4175747390003259</v>
      </c>
    </row>
    <row r="9" spans="1:22" ht="15" customHeight="1" x14ac:dyDescent="0.25">
      <c r="A9" s="77" t="s">
        <v>507</v>
      </c>
      <c r="B9" s="17">
        <f>IF(B5&lt;Inputs!$B$75,(B8+B7*0.5)*Inputs!$B$56,0)</f>
        <v>0</v>
      </c>
      <c r="C9" s="17">
        <f>IF(C5&lt;Inputs!$B$75,(C8+C7*0.5)*Inputs!$B$56,0)</f>
        <v>4.4304464285714364E-2</v>
      </c>
      <c r="D9" s="17">
        <f>IF(D5&lt;Inputs!$B$75,(D8+D7*0.5)*Inputs!$B$56,0)</f>
        <v>0.13535013839285739</v>
      </c>
      <c r="E9" s="17">
        <f>IF(E5&lt;Inputs!$B$75,(E8+E7*0.5)*Inputs!$B$56,0)</f>
        <v>0.23140332457589327</v>
      </c>
      <c r="F9" s="17">
        <f>IF(F5&lt;Inputs!$B$75,(F8+F7*0.5)*Inputs!$B$56,0)</f>
        <v>0.33273943599899614</v>
      </c>
      <c r="G9" s="17">
        <f>IF(G5&lt;Inputs!$B$75,(G8+G7*0.5)*Inputs!$B$56,0)</f>
        <v>0.43964903355036966</v>
      </c>
      <c r="H9" s="17">
        <f>IF(H5&lt;Inputs!$B$75,(H8+H7*0.5)*Inputs!$B$56,0)</f>
        <v>0.54528865896706857</v>
      </c>
      <c r="I9" s="17">
        <f>IF(I5&lt;Inputs!$B$75,(I8+I7*0.5)*Inputs!$B$56,0)</f>
        <v>0.64958846378168611</v>
      </c>
      <c r="J9" s="17">
        <f>IF(J5&lt;Inputs!$B$75,(J8+J7*0.5)*Inputs!$B$56,0)</f>
        <v>0</v>
      </c>
      <c r="K9" s="17">
        <f>IF(K5&lt;Inputs!$B$75,(K8+K7*0.5)*Inputs!$B$56,0)</f>
        <v>0</v>
      </c>
      <c r="L9" s="17">
        <f>IF(L5&lt;Inputs!$B$75,(L8+L7*0.5)*Inputs!$B$56,0)</f>
        <v>0</v>
      </c>
      <c r="M9" s="17">
        <f>IF(M5&lt;Inputs!$B$75,(M8+M7*0.5)*Inputs!$B$56,0)</f>
        <v>0</v>
      </c>
      <c r="N9" s="17">
        <f>IF(N5&lt;Inputs!$B$75,(N8+N7*0.5)*Inputs!$B$56,0)</f>
        <v>0</v>
      </c>
      <c r="O9" s="17">
        <f>IF(O5&lt;Inputs!$B$75,(O8+O7*0.5)*Inputs!$B$56,0)</f>
        <v>0</v>
      </c>
      <c r="P9" s="17">
        <f>IF(P5&lt;Inputs!$B$75,(P8+P7*0.5)*Inputs!$B$56,0)</f>
        <v>0</v>
      </c>
      <c r="Q9" s="17">
        <f>IF(Q5&lt;Inputs!$B$75,(Q8+Q7*0.5)*Inputs!$B$56,0)</f>
        <v>0</v>
      </c>
      <c r="R9" s="17">
        <f>IF(R5&lt;Inputs!$B$75,(R8+R7*0.5)*Inputs!$B$56,0)</f>
        <v>0</v>
      </c>
      <c r="S9" s="17">
        <f>IF(S5&lt;Inputs!$B$75,(S8+S7*0.5)*Inputs!$B$56,0)</f>
        <v>0</v>
      </c>
      <c r="T9" s="17">
        <f>IF(T5&lt;Inputs!$B$75,(T8+T7*0.5)*Inputs!$B$56,0)</f>
        <v>0</v>
      </c>
      <c r="U9" s="17">
        <f>IF(U5&lt;Inputs!$B$75,(U8+U7*0.5)*Inputs!$B$56,0)</f>
        <v>0</v>
      </c>
      <c r="V9" s="17">
        <f>IF(V5&lt;Inputs!$B$75,(V8+V7*0.5)*Inputs!$B$56,0)</f>
        <v>0</v>
      </c>
    </row>
    <row r="10" spans="1:22" ht="15" customHeight="1" x14ac:dyDescent="0.25">
      <c r="A10" s="77" t="s">
        <v>508</v>
      </c>
      <c r="B10" s="17">
        <f>IF(B5&gt;=Inputs!$B$75,(B8+B7*0.5)*Inputs!$B$56,0)</f>
        <v>0</v>
      </c>
      <c r="C10" s="17">
        <f>IF(C5&gt;=Inputs!$B$75,(C8+C7*0.5)*Inputs!$B$56,0)</f>
        <v>0</v>
      </c>
      <c r="D10" s="17">
        <f>IF(D5&gt;=Inputs!$B$75,(D8+D7*0.5)*Inputs!$B$56,0)</f>
        <v>0</v>
      </c>
      <c r="E10" s="17">
        <f>IF(E5&gt;=Inputs!$B$75,(E8+E7*0.5)*Inputs!$B$56,0)</f>
        <v>0</v>
      </c>
      <c r="F10" s="17">
        <f>IF(F5&gt;=Inputs!$B$75,(F8+F7*0.5)*Inputs!$B$56,0)</f>
        <v>0</v>
      </c>
      <c r="G10" s="17">
        <f>IF(G5&gt;=Inputs!$B$75,(G8+G7*0.5)*Inputs!$B$56,0)</f>
        <v>0</v>
      </c>
      <c r="H10" s="17">
        <f>IF(H5&gt;=Inputs!$B$75,(H8+H7*0.5)*Inputs!$B$56,0)</f>
        <v>0</v>
      </c>
      <c r="I10" s="17">
        <f>IF(I5&gt;=Inputs!$B$75,(I8+I7*0.5)*Inputs!$B$56,0)</f>
        <v>0</v>
      </c>
      <c r="J10" s="17">
        <f>IF(J5&gt;=Inputs!$B$75,(J8+J7*0.5)*Inputs!$B$56,0)</f>
        <v>0.73408904357539329</v>
      </c>
      <c r="K10" s="17">
        <f>IF(K5&gt;=Inputs!$B$75,(K8+K7*0.5)*Inputs!$B$56,0)</f>
        <v>0.70175190560805523</v>
      </c>
      <c r="L10" s="17">
        <f>IF(L5&gt;=Inputs!$B$75,(L8+L7*0.5)*Inputs!$B$56,0)</f>
        <v>0.67190223979205099</v>
      </c>
      <c r="M10" s="17">
        <f>IF(M5&gt;=Inputs!$B$75,(M8+M7*0.5)*Inputs!$B$56,0)</f>
        <v>0.64434870211573936</v>
      </c>
      <c r="N10" s="17">
        <f>IF(N5&gt;=Inputs!$B$75,(N8+N7*0.5)*Inputs!$B$56,0)</f>
        <v>0.61891466733760547</v>
      </c>
      <c r="O10" s="17">
        <f>IF(O5&gt;=Inputs!$B$75,(O8+O7*0.5)*Inputs!$B$56,0)</f>
        <v>0.59543709677317425</v>
      </c>
      <c r="P10" s="17">
        <f>IF(P5&gt;=Inputs!$B$75,(P8+P7*0.5)*Inputs!$B$56,0)</f>
        <v>0.57376549317523773</v>
      </c>
      <c r="Q10" s="17">
        <f>IF(Q5&gt;=Inputs!$B$75,(Q8+Q7*0.5)*Inputs!$B$56,0)</f>
        <v>0.55376093600791176</v>
      </c>
      <c r="R10" s="17">
        <f>IF(R5&gt;=Inputs!$B$75,(R8+R7*0.5)*Inputs!$B$56,0)</f>
        <v>0.53529519093038003</v>
      </c>
      <c r="S10" s="17">
        <f>IF(S5&gt;=Inputs!$B$75,(S8+S7*0.5)*Inputs!$B$56,0)</f>
        <v>0.5182498877818893</v>
      </c>
      <c r="T10" s="17">
        <f>IF(T5&gt;=Inputs!$B$75,(T8+T7*0.5)*Inputs!$B$56,0)</f>
        <v>0.50251576179866697</v>
      </c>
      <c r="U10" s="17">
        <f>IF(U5&gt;=Inputs!$B$75,(U8+U7*0.5)*Inputs!$B$56,0)</f>
        <v>0.48799195319876948</v>
      </c>
      <c r="V10" s="17">
        <f>IF(V5&gt;=Inputs!$B$75,(V8+V7*0.5)*Inputs!$B$56,0)</f>
        <v>0.47458536064501794</v>
      </c>
    </row>
    <row r="11" spans="1:22" ht="15" customHeight="1" x14ac:dyDescent="0.25">
      <c r="A11" s="77" t="s">
        <v>499</v>
      </c>
      <c r="B11" s="17">
        <f>IF(AND(B5&gt;=Inputs!$B$75,B5&lt;=20),MIN(B8+B9,SUM($B$7:$V$7)+SUM($B$9:$V$9))/MAX(1,20-Inputs!$B$75+1),0)</f>
        <v>0</v>
      </c>
      <c r="C11" s="17">
        <f>IF(AND(C5&gt;=Inputs!$B$75,C5&lt;=20),MIN(C8+C9,SUM($B$7:$V$7)+SUM($B$9:$V$9))/MAX(1,20-Inputs!$B$75+1),0)</f>
        <v>0</v>
      </c>
      <c r="D11" s="17">
        <f>IF(AND(D5&gt;=Inputs!$B$75,D5&lt;=20),MIN(D8+D9,SUM($B$7:$V$7)+SUM($B$9:$V$9))/MAX(1,20-Inputs!$B$75+1),0)</f>
        <v>0</v>
      </c>
      <c r="E11" s="17">
        <f>IF(AND(E5&gt;=Inputs!$B$75,E5&lt;=20),MIN(E8+E9,SUM($B$7:$V$7)+SUM($B$9:$V$9))/MAX(1,20-Inputs!$B$75+1),0)</f>
        <v>0</v>
      </c>
      <c r="F11" s="17">
        <f>IF(AND(F5&gt;=Inputs!$B$75,F5&lt;=20),MIN(F8+F9,SUM($B$7:$V$7)+SUM($B$9:$V$9))/MAX(1,20-Inputs!$B$75+1),0)</f>
        <v>0</v>
      </c>
      <c r="G11" s="17">
        <f>IF(AND(G5&gt;=Inputs!$B$75,G5&lt;=20),MIN(G8+G9,SUM($B$7:$V$7)+SUM($B$9:$V$9))/MAX(1,20-Inputs!$B$75+1),0)</f>
        <v>0</v>
      </c>
      <c r="H11" s="17">
        <f>IF(AND(H5&gt;=Inputs!$B$75,H5&lt;=20),MIN(H8+H9,SUM($B$7:$V$7)+SUM($B$9:$V$9))/MAX(1,20-Inputs!$B$75+1),0)</f>
        <v>0</v>
      </c>
      <c r="I11" s="17">
        <f>IF(AND(I5&gt;=Inputs!$B$75,I5&lt;=20),MIN(I8+I9,SUM($B$7:$V$7)+SUM($B$9:$V$9))/MAX(1,20-Inputs!$B$75+1),0)</f>
        <v>0</v>
      </c>
      <c r="J11" s="17">
        <f>IF(AND(J5&gt;=Inputs!$B$75,J5&lt;=20),MIN(J8+J9,SUM($B$7:$V$7)+SUM($B$9:$V$9))/MAX(1,20-Inputs!$B$75+1),0)</f>
        <v>1.0104479630425081</v>
      </c>
      <c r="K11" s="17">
        <f>IF(AND(K5&gt;=Inputs!$B$75,K5&lt;=20),MIN(K8+K9,SUM($B$7:$V$7)+SUM($B$9:$V$9))/MAX(1,20-Inputs!$B$75+1),0)</f>
        <v>0.9652211966546228</v>
      </c>
      <c r="L11" s="17">
        <f>IF(AND(L5&gt;=Inputs!$B$75,L5&lt;=20),MIN(L8+L9,SUM($B$7:$V$7)+SUM($B$9:$V$9))/MAX(1,20-Inputs!$B$75+1),0)</f>
        <v>0.92347341229657487</v>
      </c>
      <c r="M11" s="17">
        <f>IF(AND(M5&gt;=Inputs!$B$75,M5&lt;=20),MIN(M8+M9,SUM($B$7:$V$7)+SUM($B$9:$V$9))/MAX(1,20-Inputs!$B$75+1),0)</f>
        <v>0.88493699596606901</v>
      </c>
      <c r="N11" s="17">
        <f>IF(AND(N5&gt;=Inputs!$B$75,N5&lt;=20),MIN(N8+N9,SUM($B$7:$V$7)+SUM($B$9:$V$9))/MAX(1,20-Inputs!$B$75+1),0)</f>
        <v>0.8493649193532945</v>
      </c>
      <c r="O11" s="17">
        <f>IF(AND(O5&gt;=Inputs!$B$75,O5&lt;=20),MIN(O8+O9,SUM($B$7:$V$7)+SUM($B$9:$V$9))/MAX(1,20-Inputs!$B$75+1),0)</f>
        <v>0.81652915632611789</v>
      </c>
      <c r="P11" s="17">
        <f>IF(AND(P5&gt;=Inputs!$B$75,P5&lt;=20),MIN(P8+P9,SUM($B$7:$V$7)+SUM($B$9:$V$9))/MAX(1,20-Inputs!$B$75+1),0)</f>
        <v>0.78621922122410881</v>
      </c>
      <c r="Q11" s="17">
        <f>IF(AND(Q5&gt;=Inputs!$B$75,Q5&lt;=20),MIN(Q8+Q9,SUM($B$7:$V$7)+SUM($B$9:$V$9))/MAX(1,20-Inputs!$B$75+1),0)</f>
        <v>0.75824081959148504</v>
      </c>
      <c r="R11" s="17">
        <f>IF(AND(R5&gt;=Inputs!$B$75,R5&lt;=20),MIN(R8+R9,SUM($B$7:$V$7)+SUM($B$9:$V$9))/MAX(1,20-Inputs!$B$75+1),0)</f>
        <v>0.73241460269983227</v>
      </c>
      <c r="S11" s="17">
        <f>IF(AND(S5&gt;=Inputs!$B$75,S5&lt;=20),MIN(S8+S9,SUM($B$7:$V$7)+SUM($B$9:$V$9))/MAX(1,20-Inputs!$B$75+1),0)</f>
        <v>0.70857501787676824</v>
      </c>
      <c r="T11" s="17">
        <f>IF(AND(T5&gt;=Inputs!$B$75,T5&lt;=20),MIN(T8+T9,SUM($B$7:$V$7)+SUM($B$9:$V$9))/MAX(1,20-Inputs!$B$75+1),0)</f>
        <v>0.68656924727086299</v>
      </c>
      <c r="U11" s="17">
        <f>IF(AND(U5&gt;=Inputs!$B$75,U5&lt;=20),MIN(U8+U9,SUM($B$7:$V$7)+SUM($B$9:$V$9))/MAX(1,20-Inputs!$B$75+1),0)</f>
        <v>0.66625622825002728</v>
      </c>
      <c r="V11" s="17">
        <f>IF(AND(V5&gt;=Inputs!$B$75,V5&lt;=20),MIN(V8+V9,SUM($B$7:$V$7)+SUM($B$9:$V$9))/MAX(1,20-Inputs!$B$75+1),0)</f>
        <v>0.64750574915387127</v>
      </c>
    </row>
    <row r="12" spans="1:22" ht="15" customHeight="1" x14ac:dyDescent="0.25">
      <c r="A12" s="78" t="s">
        <v>380</v>
      </c>
      <c r="B12" s="79">
        <f t="shared" ref="B12:V12" si="1">B8+B7+B9-B11</f>
        <v>0</v>
      </c>
      <c r="C12" s="79">
        <f t="shared" si="1"/>
        <v>1.6553758928571458</v>
      </c>
      <c r="D12" s="79">
        <f t="shared" si="1"/>
        <v>3.4017974598214349</v>
      </c>
      <c r="E12" s="79">
        <f t="shared" si="1"/>
        <v>5.2442722129687596</v>
      </c>
      <c r="F12" s="79">
        <f t="shared" si="1"/>
        <v>7.1880830775391873</v>
      </c>
      <c r="G12" s="79">
        <f t="shared" si="1"/>
        <v>9.2388035396609869</v>
      </c>
      <c r="H12" s="79">
        <f t="shared" si="1"/>
        <v>11.135163627199487</v>
      </c>
      <c r="I12" s="79">
        <f t="shared" si="1"/>
        <v>13.135823519552606</v>
      </c>
      <c r="J12" s="79">
        <f t="shared" si="1"/>
        <v>12.547875556510096</v>
      </c>
      <c r="K12" s="79">
        <f t="shared" si="1"/>
        <v>12.005154359855473</v>
      </c>
      <c r="L12" s="79">
        <f t="shared" si="1"/>
        <v>11.504180947558897</v>
      </c>
      <c r="M12" s="79">
        <f t="shared" si="1"/>
        <v>11.041743951592828</v>
      </c>
      <c r="N12" s="79">
        <f t="shared" si="1"/>
        <v>10.614879032239532</v>
      </c>
      <c r="O12" s="79">
        <f t="shared" si="1"/>
        <v>10.220849875913414</v>
      </c>
      <c r="P12" s="79">
        <f t="shared" si="1"/>
        <v>9.8571306546893052</v>
      </c>
      <c r="Q12" s="79">
        <f t="shared" si="1"/>
        <v>9.5213898350978194</v>
      </c>
      <c r="R12" s="79">
        <f t="shared" si="1"/>
        <v>9.2114752323979872</v>
      </c>
      <c r="S12" s="79">
        <f t="shared" si="1"/>
        <v>8.9254002145212183</v>
      </c>
      <c r="T12" s="79">
        <f t="shared" si="1"/>
        <v>8.661330967250354</v>
      </c>
      <c r="U12" s="79">
        <f t="shared" si="1"/>
        <v>8.4175747390003259</v>
      </c>
      <c r="V12" s="79">
        <f t="shared" si="1"/>
        <v>8.1925689898464533</v>
      </c>
    </row>
    <row r="13" spans="1:22" ht="15" customHeight="1" x14ac:dyDescent="0.25">
      <c r="A13" s="78" t="s">
        <v>509</v>
      </c>
      <c r="B13" s="79">
        <f t="shared" ref="B13:V13" si="2">B10+B11</f>
        <v>0</v>
      </c>
      <c r="C13" s="79">
        <f t="shared" si="2"/>
        <v>0</v>
      </c>
      <c r="D13" s="79">
        <f t="shared" si="2"/>
        <v>0</v>
      </c>
      <c r="E13" s="79">
        <f t="shared" si="2"/>
        <v>0</v>
      </c>
      <c r="F13" s="79">
        <f t="shared" si="2"/>
        <v>0</v>
      </c>
      <c r="G13" s="79">
        <f t="shared" si="2"/>
        <v>0</v>
      </c>
      <c r="H13" s="79">
        <f t="shared" si="2"/>
        <v>0</v>
      </c>
      <c r="I13" s="79">
        <f t="shared" si="2"/>
        <v>0</v>
      </c>
      <c r="J13" s="79">
        <f t="shared" si="2"/>
        <v>1.7445370066179013</v>
      </c>
      <c r="K13" s="79">
        <f t="shared" si="2"/>
        <v>1.6669731022626779</v>
      </c>
      <c r="L13" s="79">
        <f t="shared" si="2"/>
        <v>1.595375652088626</v>
      </c>
      <c r="M13" s="79">
        <f t="shared" si="2"/>
        <v>1.5292856980818084</v>
      </c>
      <c r="N13" s="79">
        <f t="shared" si="2"/>
        <v>1.4682795866909</v>
      </c>
      <c r="O13" s="79">
        <f t="shared" si="2"/>
        <v>1.4119662530992922</v>
      </c>
      <c r="P13" s="79">
        <f t="shared" si="2"/>
        <v>1.3599847143993467</v>
      </c>
      <c r="Q13" s="79">
        <f t="shared" si="2"/>
        <v>1.3120017555993968</v>
      </c>
      <c r="R13" s="79">
        <f t="shared" si="2"/>
        <v>1.2677097936302122</v>
      </c>
      <c r="S13" s="79">
        <f t="shared" si="2"/>
        <v>1.2268249056586575</v>
      </c>
      <c r="T13" s="79">
        <f t="shared" si="2"/>
        <v>1.18908500906953</v>
      </c>
      <c r="U13" s="79">
        <f t="shared" si="2"/>
        <v>1.1542481814487968</v>
      </c>
      <c r="V13" s="79">
        <f t="shared" si="2"/>
        <v>1.1220911097988893</v>
      </c>
    </row>
    <row r="14" spans="1:22" ht="15" customHeight="1" x14ac:dyDescent="0.25">
      <c r="A14" s="77" t="s">
        <v>510</v>
      </c>
      <c r="B14" s="17">
        <f t="shared" ref="B14:V14" si="3">B10+B11</f>
        <v>0</v>
      </c>
      <c r="C14" s="17">
        <f t="shared" si="3"/>
        <v>0</v>
      </c>
      <c r="D14" s="17">
        <f t="shared" si="3"/>
        <v>0</v>
      </c>
      <c r="E14" s="17">
        <f t="shared" si="3"/>
        <v>0</v>
      </c>
      <c r="F14" s="17">
        <f t="shared" si="3"/>
        <v>0</v>
      </c>
      <c r="G14" s="17">
        <f t="shared" si="3"/>
        <v>0</v>
      </c>
      <c r="H14" s="17">
        <f t="shared" si="3"/>
        <v>0</v>
      </c>
      <c r="I14" s="17">
        <f t="shared" si="3"/>
        <v>0</v>
      </c>
      <c r="J14" s="17">
        <f t="shared" si="3"/>
        <v>1.7445370066179013</v>
      </c>
      <c r="K14" s="17">
        <f t="shared" si="3"/>
        <v>1.6669731022626779</v>
      </c>
      <c r="L14" s="17">
        <f t="shared" si="3"/>
        <v>1.595375652088626</v>
      </c>
      <c r="M14" s="17">
        <f t="shared" si="3"/>
        <v>1.5292856980818084</v>
      </c>
      <c r="N14" s="17">
        <f t="shared" si="3"/>
        <v>1.4682795866909</v>
      </c>
      <c r="O14" s="17">
        <f t="shared" si="3"/>
        <v>1.4119662530992922</v>
      </c>
      <c r="P14" s="17">
        <f t="shared" si="3"/>
        <v>1.3599847143993467</v>
      </c>
      <c r="Q14" s="17">
        <f t="shared" si="3"/>
        <v>1.3120017555993968</v>
      </c>
      <c r="R14" s="17">
        <f t="shared" si="3"/>
        <v>1.2677097936302122</v>
      </c>
      <c r="S14" s="17">
        <f t="shared" si="3"/>
        <v>1.2268249056586575</v>
      </c>
      <c r="T14" s="17">
        <f t="shared" si="3"/>
        <v>1.18908500906953</v>
      </c>
      <c r="U14" s="17">
        <f t="shared" si="3"/>
        <v>1.1542481814487968</v>
      </c>
      <c r="V14" s="17">
        <f t="shared" si="3"/>
        <v>1.1220911097988893</v>
      </c>
    </row>
    <row r="15" spans="1:22" ht="15" customHeight="1" x14ac:dyDescent="0.25">
      <c r="A15" s="78" t="s">
        <v>383</v>
      </c>
      <c r="B15" s="20" t="str">
        <f>IF(B14&gt;0,'Bankability CF'!B17/B14,"")</f>
        <v/>
      </c>
      <c r="C15" s="20" t="str">
        <f>IF(C14&gt;0,'Bankability CF'!C17/C14,"")</f>
        <v/>
      </c>
      <c r="D15" s="20" t="str">
        <f>IF(D14&gt;0,'Bankability CF'!D17/D14,"")</f>
        <v/>
      </c>
      <c r="E15" s="20" t="str">
        <f>IF(E14&gt;0,'Bankability CF'!E17/E14,"")</f>
        <v/>
      </c>
      <c r="F15" s="20" t="str">
        <f>IF(F14&gt;0,'Bankability CF'!F17/F14,"")</f>
        <v/>
      </c>
      <c r="G15" s="20" t="str">
        <f>IF(G14&gt;0,'Bankability CF'!G17/G14,"")</f>
        <v/>
      </c>
      <c r="H15" s="20" t="str">
        <f>IF(H14&gt;0,'Bankability CF'!H17/H14,"")</f>
        <v/>
      </c>
      <c r="I15" s="20" t="str">
        <f>IF(I14&gt;0,'Bankability CF'!I17/I14,"")</f>
        <v/>
      </c>
      <c r="J15" s="20">
        <f>IF(J14&gt;0,'Bankability CF'!J17/J14,"")</f>
        <v>0.6998743177311203</v>
      </c>
      <c r="K15" s="20">
        <f>IF(K14&gt;0,'Bankability CF'!K17/K14,"")</f>
        <v>0.79116958483372224</v>
      </c>
      <c r="L15" s="20">
        <f>IF(L14&gt;0,'Bankability CF'!L17/L14,"")</f>
        <v>0.89304883061996687</v>
      </c>
      <c r="M15" s="20">
        <f>IF(M14&gt;0,'Bankability CF'!M17/M14,"")</f>
        <v>1.0065408013322081</v>
      </c>
      <c r="N15" s="20">
        <f>IF(N14&gt;0,'Bankability CF'!N17/N14,"")</f>
        <v>1.1327517502467745</v>
      </c>
      <c r="O15" s="20">
        <f>IF(O14&gt;0,'Bankability CF'!O17/O14,"")</f>
        <v>1.2728701734533148</v>
      </c>
      <c r="P15" s="20">
        <f>IF(P14&gt;0,'Bankability CF'!P17/P14,"")</f>
        <v>1.4281720785366361</v>
      </c>
      <c r="Q15" s="20">
        <f>IF(Q14&gt;0,'Bankability CF'!Q17/Q14,"")</f>
        <v>1.6000268798010988</v>
      </c>
      <c r="R15" s="20">
        <f>IF(R14&gt;0,'Bankability CF'!R17/R14,"")</f>
        <v>1.7899040167861942</v>
      </c>
      <c r="S15" s="20">
        <f>IF(S14&gt;0,'Bankability CF'!S17/S14,"")</f>
        <v>1.9993803942352744</v>
      </c>
      <c r="T15" s="20">
        <f>IF(T14&gt;0,'Bankability CF'!T17/T14,"")</f>
        <v>2.2301487416344816</v>
      </c>
      <c r="U15" s="20">
        <f>IF(U14&gt;0,'Bankability CF'!U17/U14,"")</f>
        <v>2.4840269892991889</v>
      </c>
      <c r="V15" s="20">
        <f>IF(V14&gt;0,'Bankability CF'!V17/V14,"")</f>
        <v>2.7629687562104315</v>
      </c>
    </row>
    <row r="16" spans="1:22" ht="15" customHeight="1" x14ac:dyDescent="0.25">
      <c r="A16" s="77" t="s">
        <v>511</v>
      </c>
      <c r="B16" s="17">
        <f>B14*Inputs!$B$74/12</f>
        <v>0</v>
      </c>
      <c r="C16" s="17">
        <f>C14*Inputs!$B$74/12</f>
        <v>0</v>
      </c>
      <c r="D16" s="17">
        <f>D14*Inputs!$B$74/12</f>
        <v>0</v>
      </c>
      <c r="E16" s="17">
        <f>E14*Inputs!$B$74/12</f>
        <v>0</v>
      </c>
      <c r="F16" s="17">
        <f>F14*Inputs!$B$74/12</f>
        <v>0</v>
      </c>
      <c r="G16" s="17">
        <f>G14*Inputs!$B$74/12</f>
        <v>0</v>
      </c>
      <c r="H16" s="17">
        <f>H14*Inputs!$B$74/12</f>
        <v>0</v>
      </c>
      <c r="I16" s="17">
        <f>I14*Inputs!$B$74/12</f>
        <v>0</v>
      </c>
      <c r="J16" s="17">
        <f>J14*Inputs!$B$74/12</f>
        <v>0.87226850330895067</v>
      </c>
      <c r="K16" s="17">
        <f>K14*Inputs!$B$74/12</f>
        <v>0.83348655113133896</v>
      </c>
      <c r="L16" s="17">
        <f>L14*Inputs!$B$74/12</f>
        <v>0.7976878260443131</v>
      </c>
      <c r="M16" s="17">
        <f>M14*Inputs!$B$74/12</f>
        <v>0.76464284904090418</v>
      </c>
      <c r="N16" s="17">
        <f>N14*Inputs!$B$74/12</f>
        <v>0.73413979334544999</v>
      </c>
      <c r="O16" s="17">
        <f>O14*Inputs!$B$74/12</f>
        <v>0.70598312654964612</v>
      </c>
      <c r="P16" s="17">
        <f>P14*Inputs!$B$74/12</f>
        <v>0.67999235719967333</v>
      </c>
      <c r="Q16" s="17">
        <f>Q14*Inputs!$B$74/12</f>
        <v>0.6560008777996984</v>
      </c>
      <c r="R16" s="17">
        <f>R14*Inputs!$B$74/12</f>
        <v>0.63385489681510609</v>
      </c>
      <c r="S16" s="17">
        <f>S14*Inputs!$B$74/12</f>
        <v>0.61341245282932877</v>
      </c>
      <c r="T16" s="17">
        <f>T14*Inputs!$B$74/12</f>
        <v>0.59454250453476498</v>
      </c>
      <c r="U16" s="17">
        <f>U14*Inputs!$B$74/12</f>
        <v>0.57712409072439841</v>
      </c>
      <c r="V16" s="17">
        <f>V14*Inputs!$B$74/12</f>
        <v>0.56104555489944463</v>
      </c>
    </row>
    <row r="17" spans="1:22" ht="15" customHeight="1" x14ac:dyDescent="0.25">
      <c r="A17" s="78" t="s">
        <v>512</v>
      </c>
      <c r="B17" s="79">
        <f>'Bankability CF'!B10-B7+B19+B20</f>
        <v>0.40625000000000033</v>
      </c>
      <c r="C17" s="79">
        <f>'Bankability CF'!C10-C7+C19+C20</f>
        <v>0.94472232142857271</v>
      </c>
      <c r="D17" s="79">
        <f>'Bankability CF'!D10-D7+D19+D20</f>
        <v>0.93666696428571561</v>
      </c>
      <c r="E17" s="79">
        <f>'Bankability CF'!E10-E7+E19+E20</f>
        <v>0.9286116071428584</v>
      </c>
      <c r="F17" s="79">
        <f>'Bankability CF'!F10-F7+F19+F20</f>
        <v>0.9205562500000013</v>
      </c>
      <c r="G17" s="79">
        <f>'Bankability CF'!G10-G7+G19+G20</f>
        <v>0.91250089285714409</v>
      </c>
      <c r="H17" s="79">
        <f>'Bankability CF'!H10-H7+H19+H20</f>
        <v>0.76509553571428712</v>
      </c>
      <c r="I17" s="79">
        <f>'Bankability CF'!I10-I7+I19+I20</f>
        <v>0.75834017857142988</v>
      </c>
      <c r="J17" s="79">
        <f>'Bankability CF'!J10-J7+J19+J20</f>
        <v>0.25390624999999994</v>
      </c>
      <c r="K17" s="79">
        <f>'Bankability CF'!K10-K7+K19+K20</f>
        <v>0.25179374999999993</v>
      </c>
      <c r="L17" s="79">
        <f>'Bankability CF'!L10-L7+L19+L20</f>
        <v>0.24968124999999997</v>
      </c>
      <c r="M17" s="79">
        <f>'Bankability CF'!M10-M7+M19+M20</f>
        <v>0.24756874999999995</v>
      </c>
      <c r="N17" s="79">
        <f>'Bankability CF'!N10-N7+N19+N20</f>
        <v>0.24545624999999996</v>
      </c>
      <c r="O17" s="79">
        <f>'Bankability CF'!O10-O7+O19+O20</f>
        <v>0.24334374999999997</v>
      </c>
      <c r="P17" s="79">
        <f>'Bankability CF'!P10-P7+P19+P20</f>
        <v>0.24123124999999998</v>
      </c>
      <c r="Q17" s="79">
        <f>'Bankability CF'!Q10-Q7+Q19+Q20</f>
        <v>0.23911874999999996</v>
      </c>
      <c r="R17" s="79">
        <f>'Bankability CF'!R10-R7+R19+R20</f>
        <v>0.23700624999999997</v>
      </c>
      <c r="S17" s="79">
        <f>'Bankability CF'!S10-S7+S19+S20</f>
        <v>0.23489374999999998</v>
      </c>
      <c r="T17" s="79">
        <f>'Bankability CF'!T10-T7+T19+T20</f>
        <v>0.23278125</v>
      </c>
      <c r="U17" s="79">
        <f>'Bankability CF'!U10-U7+U19+U20</f>
        <v>0.23066874999999998</v>
      </c>
      <c r="V17" s="79">
        <f>'Bankability CF'!V10-V7+V19+V20</f>
        <v>0.22855624999999999</v>
      </c>
    </row>
    <row r="18" spans="1:22" ht="15" customHeight="1" x14ac:dyDescent="0.25">
      <c r="A18" s="15" t="s">
        <v>513</v>
      </c>
      <c r="B18" s="19">
        <f>MAX(0,SUM($B$7:$V$7)-SUM($B$7:B7))</f>
        <v>16.250000000000014</v>
      </c>
      <c r="C18" s="19">
        <f>MAX(0,SUM($B$7:$V$7)-SUM($B$7:C7))</f>
        <v>14.638928571428583</v>
      </c>
      <c r="D18" s="19">
        <f>MAX(0,SUM($B$7:$V$7)-SUM($B$7:D7))</f>
        <v>13.027857142857151</v>
      </c>
      <c r="E18" s="19">
        <f>MAX(0,SUM($B$7:$V$7)-SUM($B$7:E7))</f>
        <v>11.416785714285719</v>
      </c>
      <c r="F18" s="19">
        <f>MAX(0,SUM($B$7:$V$7)-SUM($B$7:F7))</f>
        <v>9.8057142857142878</v>
      </c>
      <c r="G18" s="19">
        <f>MAX(0,SUM($B$7:$V$7)-SUM($B$7:G7))</f>
        <v>8.194642857142858</v>
      </c>
      <c r="H18" s="19">
        <f>MAX(0,SUM($B$7:$V$7)-SUM($B$7:H7))</f>
        <v>6.8435714285714262</v>
      </c>
      <c r="I18" s="19">
        <f>MAX(0,SUM($B$7:$V$7)-SUM($B$7:I7))</f>
        <v>5.4924999999999944</v>
      </c>
      <c r="J18" s="19">
        <f>MAX(0,SUM($B$7:$V$7)-SUM($B$7:J7))</f>
        <v>5.069999999999995</v>
      </c>
      <c r="K18" s="19">
        <f>MAX(0,SUM($B$7:$V$7)-SUM($B$7:K7))</f>
        <v>4.6474999999999955</v>
      </c>
      <c r="L18" s="19">
        <f>MAX(0,SUM($B$7:$V$7)-SUM($B$7:L7))</f>
        <v>4.2249999999999961</v>
      </c>
      <c r="M18" s="19">
        <f>MAX(0,SUM($B$7:$V$7)-SUM($B$7:M7))</f>
        <v>3.8024999999999967</v>
      </c>
      <c r="N18" s="19">
        <f>MAX(0,SUM($B$7:$V$7)-SUM($B$7:N7))</f>
        <v>3.3799999999999972</v>
      </c>
      <c r="O18" s="19">
        <f>MAX(0,SUM($B$7:$V$7)-SUM($B$7:O7))</f>
        <v>2.9574999999999978</v>
      </c>
      <c r="P18" s="19">
        <f>MAX(0,SUM($B$7:$V$7)-SUM($B$7:P7))</f>
        <v>2.5349999999999984</v>
      </c>
      <c r="Q18" s="19">
        <f>MAX(0,SUM($B$7:$V$7)-SUM($B$7:Q7))</f>
        <v>2.1124999999999989</v>
      </c>
      <c r="R18" s="19">
        <f>MAX(0,SUM($B$7:$V$7)-SUM($B$7:R7))</f>
        <v>1.6899999999999995</v>
      </c>
      <c r="S18" s="19">
        <f>MAX(0,SUM($B$7:$V$7)-SUM($B$7:S7))</f>
        <v>1.2675000000000001</v>
      </c>
      <c r="T18" s="19">
        <f>MAX(0,SUM($B$7:$V$7)-SUM($B$7:T7))</f>
        <v>0.84500000000000064</v>
      </c>
      <c r="U18" s="19">
        <f>MAX(0,SUM($B$7:$V$7)-SUM($B$7:U7))</f>
        <v>0.42250000000000121</v>
      </c>
      <c r="V18" s="19">
        <f>MAX(0,SUM($B$7:$V$7)-SUM($B$7:V7))</f>
        <v>0</v>
      </c>
    </row>
    <row r="19" spans="1:22" ht="15" customHeight="1" x14ac:dyDescent="0.25">
      <c r="A19" s="15" t="s">
        <v>514</v>
      </c>
      <c r="B19" s="19">
        <f>B18*Inputs!$B$71</f>
        <v>8.1250000000000072E-2</v>
      </c>
      <c r="C19" s="19">
        <f>AVERAGE(B18,C18)*Inputs!$B$71</f>
        <v>7.7222321428571494E-2</v>
      </c>
      <c r="D19" s="19">
        <f>AVERAGE(C18,D18)*Inputs!$B$71</f>
        <v>6.9166964285714339E-2</v>
      </c>
      <c r="E19" s="19">
        <f>AVERAGE(D18,E18)*Inputs!$B$71</f>
        <v>6.1111607142857176E-2</v>
      </c>
      <c r="F19" s="19">
        <f>AVERAGE(E18,F18)*Inputs!$B$71</f>
        <v>5.305625000000002E-2</v>
      </c>
      <c r="G19" s="19">
        <f>AVERAGE(F18,G18)*Inputs!$B$71</f>
        <v>4.5000892857142871E-2</v>
      </c>
      <c r="H19" s="19">
        <f>AVERAGE(G18,H18)*Inputs!$B$71</f>
        <v>3.7595535714285713E-2</v>
      </c>
      <c r="I19" s="19">
        <f>AVERAGE(H18,I18)*Inputs!$B$71</f>
        <v>3.0840178571428553E-2</v>
      </c>
      <c r="J19" s="19">
        <f>AVERAGE(I18,J18)*Inputs!$B$71</f>
        <v>2.6406249999999975E-2</v>
      </c>
      <c r="K19" s="19">
        <f>AVERAGE(J18,K18)*Inputs!$B$71</f>
        <v>2.4293749999999975E-2</v>
      </c>
      <c r="L19" s="19">
        <f>AVERAGE(K18,L18)*Inputs!$B$71</f>
        <v>2.2181249999999979E-2</v>
      </c>
      <c r="M19" s="19">
        <f>AVERAGE(L18,M18)*Inputs!$B$71</f>
        <v>2.0068749999999982E-2</v>
      </c>
      <c r="N19" s="19">
        <f>AVERAGE(M18,N18)*Inputs!$B$71</f>
        <v>1.7956249999999986E-2</v>
      </c>
      <c r="O19" s="19">
        <f>AVERAGE(N18,O18)*Inputs!$B$71</f>
        <v>1.5843749999999986E-2</v>
      </c>
      <c r="P19" s="19">
        <f>AVERAGE(O18,P18)*Inputs!$B$71</f>
        <v>1.373124999999999E-2</v>
      </c>
      <c r="Q19" s="19">
        <f>AVERAGE(P18,Q18)*Inputs!$B$71</f>
        <v>1.1618749999999994E-2</v>
      </c>
      <c r="R19" s="19">
        <f>AVERAGE(Q18,R18)*Inputs!$B$71</f>
        <v>9.5062499999999956E-3</v>
      </c>
      <c r="S19" s="19">
        <f>AVERAGE(R18,S18)*Inputs!$B$71</f>
        <v>7.3937499999999993E-3</v>
      </c>
      <c r="T19" s="19">
        <f>AVERAGE(S18,T18)*Inputs!$B$71</f>
        <v>5.2812500000000021E-3</v>
      </c>
      <c r="U19" s="19">
        <f>AVERAGE(T18,U18)*Inputs!$B$71</f>
        <v>3.1687500000000049E-3</v>
      </c>
      <c r="V19" s="19">
        <f>AVERAGE(U18,V18)*Inputs!$B$71</f>
        <v>1.0562500000000031E-3</v>
      </c>
    </row>
    <row r="20" spans="1:22" ht="15" customHeight="1" x14ac:dyDescent="0.25">
      <c r="A20" s="15" t="s">
        <v>515</v>
      </c>
      <c r="B20" s="19">
        <f>SUM($B$7:$V$7)*Inputs!$B$72</f>
        <v>0.32500000000000029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</row>
  </sheetData>
  <mergeCells count="2">
    <mergeCell ref="A1:N1"/>
    <mergeCell ref="A2:N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2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customHeight="1" x14ac:dyDescent="0.25"/>
  <cols>
    <col min="1" max="1" width="38" customWidth="1"/>
    <col min="2" max="2" width="19.140625" customWidth="1"/>
    <col min="3" max="3" width="18" customWidth="1"/>
    <col min="4" max="4" width="65" customWidth="1"/>
  </cols>
  <sheetData>
    <row r="1" spans="1:4" ht="25.5" customHeight="1" x14ac:dyDescent="0.25">
      <c r="A1" s="13" t="s">
        <v>516</v>
      </c>
      <c r="B1" s="13"/>
      <c r="C1" s="13"/>
      <c r="D1" s="13"/>
    </row>
    <row r="2" spans="1:4" ht="31.5" customHeight="1" x14ac:dyDescent="0.25">
      <c r="A2" s="12" t="s">
        <v>517</v>
      </c>
      <c r="B2" s="12"/>
      <c r="C2" s="12"/>
      <c r="D2" s="12"/>
    </row>
    <row r="4" spans="1:4" ht="27.75" customHeight="1" x14ac:dyDescent="0.25">
      <c r="A4" s="75" t="s">
        <v>65</v>
      </c>
      <c r="B4" s="75" t="s">
        <v>211</v>
      </c>
      <c r="C4" s="75" t="s">
        <v>518</v>
      </c>
      <c r="D4" s="75" t="s">
        <v>118</v>
      </c>
    </row>
    <row r="5" spans="1:4" ht="15" customHeight="1" x14ac:dyDescent="0.25">
      <c r="A5" s="15" t="s">
        <v>3</v>
      </c>
      <c r="B5" s="17">
        <f>Inputs!B10</f>
        <v>25</v>
      </c>
      <c r="C5" s="19" t="s">
        <v>519</v>
      </c>
      <c r="D5" s="18" t="s">
        <v>5</v>
      </c>
    </row>
    <row r="6" spans="1:4" ht="15" customHeight="1" x14ac:dyDescent="0.25">
      <c r="A6" s="15" t="s">
        <v>129</v>
      </c>
      <c r="B6" s="17">
        <f>Inputs!B11</f>
        <v>25.125</v>
      </c>
      <c r="C6" s="19" t="s">
        <v>520</v>
      </c>
      <c r="D6" s="18" t="s">
        <v>521</v>
      </c>
    </row>
    <row r="7" spans="1:4" ht="15" customHeight="1" x14ac:dyDescent="0.25">
      <c r="A7" s="15" t="s">
        <v>22</v>
      </c>
      <c r="B7" s="17">
        <f>SUM('Debt Service'!B7:V7)</f>
        <v>16.250000000000014</v>
      </c>
      <c r="C7" s="19" t="s">
        <v>21</v>
      </c>
      <c r="D7" s="18" t="s">
        <v>522</v>
      </c>
    </row>
    <row r="8" spans="1:4" ht="15" customHeight="1" x14ac:dyDescent="0.25">
      <c r="A8" s="15" t="s">
        <v>523</v>
      </c>
      <c r="B8" s="17" t="e">
        <f>SUMPRODUCT(('Bankability CF'!J17:V17)/(1+Inputs!$B$56)^({0,1,2,3,4,5,6,7,8,9,10,11,12,13,14,15,16,17,18,19,20}))/Inputs!$B$68</f>
        <v>#N/A</v>
      </c>
      <c r="C8" s="19" t="s">
        <v>524</v>
      </c>
      <c r="D8" s="18" t="s">
        <v>525</v>
      </c>
    </row>
    <row r="9" spans="1:4" ht="15" customHeight="1" x14ac:dyDescent="0.25">
      <c r="A9" s="15" t="s">
        <v>526</v>
      </c>
      <c r="B9" s="17" t="e">
        <f>B7-B8</f>
        <v>#N/A</v>
      </c>
      <c r="C9" s="19" t="s">
        <v>527</v>
      </c>
      <c r="D9" s="18" t="s">
        <v>528</v>
      </c>
    </row>
    <row r="10" spans="1:4" ht="15" customHeight="1" x14ac:dyDescent="0.25">
      <c r="A10" s="15" t="s">
        <v>396</v>
      </c>
      <c r="B10" s="17">
        <f>MAX('Debt Service'!B12:N12)</f>
        <v>13.135823519552606</v>
      </c>
      <c r="C10" s="19" t="s">
        <v>4</v>
      </c>
      <c r="D10" s="18" t="s">
        <v>529</v>
      </c>
    </row>
    <row r="11" spans="1:4" ht="15" customHeight="1" x14ac:dyDescent="0.25">
      <c r="A11" s="15" t="s">
        <v>48</v>
      </c>
      <c r="B11" s="17">
        <f>'Debt Service'!V12</f>
        <v>8.1925689898464533</v>
      </c>
      <c r="C11" s="19" t="s">
        <v>4</v>
      </c>
      <c r="D11" s="18" t="s">
        <v>530</v>
      </c>
    </row>
    <row r="12" spans="1:4" ht="15" customHeight="1" x14ac:dyDescent="0.25">
      <c r="A12" s="15" t="s">
        <v>30</v>
      </c>
      <c r="B12" s="21">
        <f>MIN('Debt Service'!J15:V15)</f>
        <v>0.6998743177311203</v>
      </c>
      <c r="C12" s="19" t="s">
        <v>531</v>
      </c>
      <c r="D12" s="18" t="s">
        <v>532</v>
      </c>
    </row>
    <row r="13" spans="1:4" ht="15" customHeight="1" x14ac:dyDescent="0.25">
      <c r="A13" s="15" t="s">
        <v>32</v>
      </c>
      <c r="B13" s="21">
        <f>AVERAGE('Debt Service'!J15:V15)</f>
        <v>1.5454525626708009</v>
      </c>
      <c r="C13" s="19" t="s">
        <v>533</v>
      </c>
      <c r="D13" s="18" t="s">
        <v>534</v>
      </c>
    </row>
    <row r="14" spans="1:4" ht="15" customHeight="1" x14ac:dyDescent="0.25">
      <c r="A14" s="15" t="s">
        <v>34</v>
      </c>
      <c r="B14" s="21" t="e">
        <f>SUMPRODUCT(('Bankability CF'!J17:V17)/(1+Inputs!$B$56)^({0,1,2,3,4,5,6,7,8,9,10,11}))/MAX(1,'Debt Service'!I12)</f>
        <v>#N/A</v>
      </c>
      <c r="C14" s="19" t="s">
        <v>535</v>
      </c>
      <c r="D14" s="18" t="s">
        <v>536</v>
      </c>
    </row>
    <row r="15" spans="1:4" ht="15" customHeight="1" x14ac:dyDescent="0.25">
      <c r="A15" s="15" t="s">
        <v>36</v>
      </c>
      <c r="B15" s="21">
        <f>SUMPRODUCT(('Bankability CF'!B17:V17)/(1+Inputs!$B$56)^({0,1,2,3,4,5,6,7,8,9,10,11,12,13,14,15,16,17,18,19,20}))/MAX(1,'Debt Service'!I12)</f>
        <v>1.2980709318325192</v>
      </c>
      <c r="C15" s="19" t="s">
        <v>535</v>
      </c>
      <c r="D15" s="18" t="s">
        <v>537</v>
      </c>
    </row>
    <row r="16" spans="1:4" ht="15" customHeight="1" x14ac:dyDescent="0.25">
      <c r="A16" s="15" t="s">
        <v>538</v>
      </c>
      <c r="B16" s="21">
        <f>'Debt Service'!V12/MAX(0.001,'Bankability CF'!V13)</f>
        <v>1.8379716236749495</v>
      </c>
      <c r="C16" s="19" t="s">
        <v>533</v>
      </c>
      <c r="D16" s="18" t="s">
        <v>539</v>
      </c>
    </row>
    <row r="17" spans="1:4" ht="15" customHeight="1" x14ac:dyDescent="0.25">
      <c r="A17" s="15" t="s">
        <v>540</v>
      </c>
      <c r="B17" s="23">
        <f>IRR('Bankability CF'!B24:V24)</f>
        <v>0.14522166791157098</v>
      </c>
      <c r="C17" s="19" t="s">
        <v>541</v>
      </c>
      <c r="D17" s="18" t="s">
        <v>542</v>
      </c>
    </row>
    <row r="18" spans="1:4" ht="15" customHeight="1" x14ac:dyDescent="0.25">
      <c r="A18" s="15" t="s">
        <v>543</v>
      </c>
      <c r="B18" s="23">
        <f>'ROI &amp; Investor Returns'!B14</f>
        <v>9.4378976883511267E-2</v>
      </c>
      <c r="C18" s="19" t="s">
        <v>541</v>
      </c>
      <c r="D18" s="18" t="s">
        <v>544</v>
      </c>
    </row>
    <row r="19" spans="1:4" ht="15" customHeight="1" x14ac:dyDescent="0.25">
      <c r="A19" s="15" t="s">
        <v>140</v>
      </c>
      <c r="B19" s="17">
        <f>NPV(Inputs!B59,'Bankability CF'!C24:V24)+'Bankability CF'!B24</f>
        <v>9.4025840145015032</v>
      </c>
      <c r="C19" s="19" t="s">
        <v>4</v>
      </c>
      <c r="D19" s="18" t="s">
        <v>141</v>
      </c>
    </row>
    <row r="20" spans="1:4" ht="15" customHeight="1" x14ac:dyDescent="0.25">
      <c r="A20" s="15" t="s">
        <v>545</v>
      </c>
      <c r="B20" s="21">
        <f>'Bankability CF'!V18/MAX(0.001,SUM('Bankability CF'!B17:V17))</f>
        <v>1.8544641279961251</v>
      </c>
      <c r="C20" s="19" t="s">
        <v>546</v>
      </c>
      <c r="D20" s="18" t="s">
        <v>547</v>
      </c>
    </row>
    <row r="21" spans="1:4" ht="47.25" customHeight="1" x14ac:dyDescent="0.25">
      <c r="A21" s="15" t="s">
        <v>548</v>
      </c>
      <c r="B21" s="80" t="e">
        <f>IF(AND(B12&gt;=Inputs!B68,B8&gt;=B7),"INDICATIVE - PASSES INITIAL TEST","NOT YET BANKABLE / FUNDING GAP OR CREDIT WEAKNESS")</f>
        <v>#N/A</v>
      </c>
      <c r="C21" s="19" t="s">
        <v>549</v>
      </c>
      <c r="D21" s="18" t="s">
        <v>550</v>
      </c>
    </row>
    <row r="22" spans="1:4" ht="15" customHeight="1" x14ac:dyDescent="0.25">
      <c r="A22" t="s">
        <v>53</v>
      </c>
      <c r="B22" s="81">
        <f>'ROI &amp; Investor Returns'!B12</f>
        <v>3.0039170690916221</v>
      </c>
      <c r="C22" t="s">
        <v>541</v>
      </c>
      <c r="D22" t="s">
        <v>54</v>
      </c>
    </row>
    <row r="23" spans="1:4" ht="15" customHeight="1" x14ac:dyDescent="0.25">
      <c r="A23" t="s">
        <v>179</v>
      </c>
      <c r="B23" s="28">
        <f>'ROI &amp; Investor Returns'!B13</f>
        <v>4.0039170690916226</v>
      </c>
      <c r="C23" t="s">
        <v>541</v>
      </c>
      <c r="D23" t="s">
        <v>70</v>
      </c>
    </row>
  </sheetData>
  <mergeCells count="2">
    <mergeCell ref="A1:D1"/>
    <mergeCell ref="A2:D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14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customHeight="1" x14ac:dyDescent="0.25"/>
  <cols>
    <col min="1" max="1" width="16.42578125" customWidth="1"/>
    <col min="2" max="4" width="12.7109375" customWidth="1"/>
    <col min="5" max="6" width="16" customWidth="1"/>
    <col min="7" max="7" width="18" customWidth="1"/>
    <col min="8" max="8" width="10.7109375" customWidth="1"/>
    <col min="9" max="9" width="15.7109375" customWidth="1"/>
  </cols>
  <sheetData>
    <row r="1" spans="1:9" ht="25.5" customHeight="1" x14ac:dyDescent="0.25">
      <c r="A1" s="13" t="s">
        <v>551</v>
      </c>
      <c r="B1" s="13"/>
      <c r="C1" s="13"/>
      <c r="D1" s="13"/>
      <c r="E1" s="13"/>
      <c r="F1" s="13"/>
      <c r="G1" s="13"/>
      <c r="H1" s="13"/>
      <c r="I1" s="13"/>
    </row>
    <row r="2" spans="1:9" ht="31.5" customHeight="1" x14ac:dyDescent="0.25">
      <c r="A2" s="12" t="s">
        <v>552</v>
      </c>
      <c r="B2" s="12"/>
      <c r="C2" s="12"/>
      <c r="D2" s="12"/>
      <c r="E2" s="12"/>
      <c r="F2" s="12"/>
      <c r="G2" s="12"/>
      <c r="H2" s="12"/>
      <c r="I2" s="12"/>
    </row>
    <row r="4" spans="1:9" ht="27.75" customHeight="1" x14ac:dyDescent="0.25">
      <c r="A4" s="75" t="s">
        <v>65</v>
      </c>
      <c r="B4" s="75" t="s">
        <v>338</v>
      </c>
      <c r="C4" s="75" t="s">
        <v>553</v>
      </c>
      <c r="D4" s="75" t="s">
        <v>342</v>
      </c>
      <c r="E4" s="75" t="s">
        <v>554</v>
      </c>
      <c r="F4" s="75" t="s">
        <v>555</v>
      </c>
      <c r="G4" s="75" t="s">
        <v>556</v>
      </c>
      <c r="H4" s="75" t="s">
        <v>66</v>
      </c>
      <c r="I4" s="75" t="s">
        <v>557</v>
      </c>
    </row>
    <row r="5" spans="1:9" ht="54.75" customHeight="1" x14ac:dyDescent="0.25">
      <c r="A5" s="15" t="s">
        <v>558</v>
      </c>
      <c r="B5" s="17">
        <f>Scenarios!B5</f>
        <v>0.8</v>
      </c>
      <c r="C5" s="17">
        <f>Scenarios!B6</f>
        <v>1</v>
      </c>
      <c r="D5" s="17">
        <f>Scenarios!B7</f>
        <v>1.2</v>
      </c>
      <c r="E5" s="18" t="s">
        <v>559</v>
      </c>
      <c r="F5" s="18" t="s">
        <v>560</v>
      </c>
      <c r="G5" s="18" t="s">
        <v>561</v>
      </c>
      <c r="H5" s="19" t="s">
        <v>28</v>
      </c>
      <c r="I5" s="19"/>
    </row>
    <row r="6" spans="1:9" ht="54.75" customHeight="1" x14ac:dyDescent="0.25">
      <c r="A6" s="15" t="s">
        <v>562</v>
      </c>
      <c r="B6" s="17">
        <f>Scenarios!C5</f>
        <v>0.9</v>
      </c>
      <c r="C6" s="17">
        <f>Scenarios!C6</f>
        <v>1</v>
      </c>
      <c r="D6" s="17">
        <f>Scenarios!C7</f>
        <v>1.05</v>
      </c>
      <c r="E6" s="18" t="s">
        <v>559</v>
      </c>
      <c r="F6" s="18" t="s">
        <v>560</v>
      </c>
      <c r="G6" s="18" t="s">
        <v>561</v>
      </c>
      <c r="H6" s="19" t="s">
        <v>28</v>
      </c>
      <c r="I6" s="19"/>
    </row>
    <row r="7" spans="1:9" ht="54.75" customHeight="1" x14ac:dyDescent="0.25">
      <c r="A7" s="15" t="s">
        <v>563</v>
      </c>
      <c r="B7" s="17">
        <f>Scenarios!D5</f>
        <v>1.1000000000000001</v>
      </c>
      <c r="C7" s="17">
        <f>Scenarios!D6</f>
        <v>1</v>
      </c>
      <c r="D7" s="17">
        <f>Scenarios!D7</f>
        <v>0.95</v>
      </c>
      <c r="E7" s="18" t="s">
        <v>559</v>
      </c>
      <c r="F7" s="18" t="s">
        <v>560</v>
      </c>
      <c r="G7" s="18" t="s">
        <v>561</v>
      </c>
      <c r="H7" s="19" t="s">
        <v>28</v>
      </c>
      <c r="I7" s="19"/>
    </row>
    <row r="8" spans="1:9" ht="54.75" customHeight="1" x14ac:dyDescent="0.25">
      <c r="A8" s="15" t="s">
        <v>564</v>
      </c>
      <c r="B8" s="17">
        <f>Scenarios!E5</f>
        <v>1.1000000000000001</v>
      </c>
      <c r="C8" s="17">
        <f>Scenarios!E6</f>
        <v>1</v>
      </c>
      <c r="D8" s="17">
        <f>Scenarios!E7</f>
        <v>0.95</v>
      </c>
      <c r="E8" s="18" t="s">
        <v>559</v>
      </c>
      <c r="F8" s="18" t="s">
        <v>560</v>
      </c>
      <c r="G8" s="18" t="s">
        <v>561</v>
      </c>
      <c r="H8" s="19" t="s">
        <v>28</v>
      </c>
      <c r="I8" s="19"/>
    </row>
    <row r="9" spans="1:9" ht="54.75" customHeight="1" x14ac:dyDescent="0.25">
      <c r="A9" s="15" t="s">
        <v>565</v>
      </c>
      <c r="B9" s="17">
        <f>Scenarios!F5</f>
        <v>11</v>
      </c>
      <c r="C9" s="17">
        <f>Scenarios!F6</f>
        <v>16</v>
      </c>
      <c r="D9" s="17">
        <f>Scenarios!F7</f>
        <v>18</v>
      </c>
      <c r="E9" s="18" t="s">
        <v>559</v>
      </c>
      <c r="F9" s="18" t="s">
        <v>560</v>
      </c>
      <c r="G9" s="18" t="s">
        <v>561</v>
      </c>
      <c r="H9" s="19" t="s">
        <v>28</v>
      </c>
      <c r="I9" s="19"/>
    </row>
    <row r="10" spans="1:9" ht="54.75" customHeight="1" x14ac:dyDescent="0.25">
      <c r="A10" s="15" t="s">
        <v>566</v>
      </c>
      <c r="B10" s="17">
        <f>SUM('Bankability CF'!B11:V11)*B5*B6</f>
        <v>61.697373194613867</v>
      </c>
      <c r="C10" s="17">
        <f>SUM('Bankability CF'!B11:V11)*C5*C6</f>
        <v>85.690796103630362</v>
      </c>
      <c r="D10" s="17">
        <f>SUM('Bankability CF'!B11:V11)*D5*D6</f>
        <v>107.97040309057425</v>
      </c>
      <c r="E10" s="18" t="s">
        <v>559</v>
      </c>
      <c r="F10" s="18" t="s">
        <v>560</v>
      </c>
      <c r="G10" s="18" t="s">
        <v>561</v>
      </c>
      <c r="H10" s="19" t="s">
        <v>4</v>
      </c>
      <c r="I10" s="19"/>
    </row>
    <row r="11" spans="1:9" ht="54.75" customHeight="1" x14ac:dyDescent="0.25">
      <c r="A11" s="15" t="s">
        <v>18</v>
      </c>
      <c r="B11" s="17">
        <f>SUM('Bankability CF'!B13:V13)*B5*B6</f>
        <v>33.863399588131671</v>
      </c>
      <c r="C11" s="17">
        <f>SUM('Bankability CF'!B13:V13)*C5*C6</f>
        <v>47.032499427960644</v>
      </c>
      <c r="D11" s="17">
        <f>SUM('Bankability CF'!B13:V13)*D5*D6</f>
        <v>59.26094927923041</v>
      </c>
      <c r="E11" s="18" t="s">
        <v>559</v>
      </c>
      <c r="F11" s="18" t="s">
        <v>560</v>
      </c>
      <c r="G11" s="18" t="s">
        <v>561</v>
      </c>
      <c r="H11" s="19" t="s">
        <v>4</v>
      </c>
      <c r="I11" s="19"/>
    </row>
    <row r="12" spans="1:9" ht="54.75" customHeight="1" x14ac:dyDescent="0.25">
      <c r="A12" s="15" t="s">
        <v>567</v>
      </c>
      <c r="B12" s="17">
        <f>SUM('Bankability CF'!B17:V17)*B5*B6/B7</f>
        <v>21.396443335996445</v>
      </c>
      <c r="C12" s="17">
        <f>SUM('Bankability CF'!B17:V17)*C5*C6/C7</f>
        <v>32.689010652216787</v>
      </c>
      <c r="D12" s="17">
        <f>SUM('Bankability CF'!B17:V17)*D5*D6/D7</f>
        <v>43.355950970308577</v>
      </c>
      <c r="E12" s="18" t="s">
        <v>559</v>
      </c>
      <c r="F12" s="18" t="s">
        <v>560</v>
      </c>
      <c r="G12" s="18" t="s">
        <v>561</v>
      </c>
      <c r="H12" s="19" t="s">
        <v>4</v>
      </c>
      <c r="I12" s="19"/>
    </row>
    <row r="13" spans="1:9" ht="54.75" customHeight="1" x14ac:dyDescent="0.25">
      <c r="A13" s="15" t="s">
        <v>365</v>
      </c>
      <c r="B13" s="17">
        <f>B11*B9*(1-Inputs!B61)</f>
        <v>316.62278614903113</v>
      </c>
      <c r="C13" s="17">
        <f>C11*C9*(1-Inputs!B61)</f>
        <v>639.6419922202648</v>
      </c>
      <c r="D13" s="17">
        <f>D11*D9*(1-Inputs!B61)</f>
        <v>906.69252397222522</v>
      </c>
      <c r="E13" s="18" t="s">
        <v>559</v>
      </c>
      <c r="F13" s="18" t="s">
        <v>560</v>
      </c>
      <c r="G13" s="18" t="s">
        <v>561</v>
      </c>
      <c r="H13" s="19" t="s">
        <v>4</v>
      </c>
      <c r="I13" s="19"/>
    </row>
    <row r="14" spans="1:9" ht="54.75" customHeight="1" x14ac:dyDescent="0.25">
      <c r="A14" s="82" t="s">
        <v>568</v>
      </c>
      <c r="B14" s="21">
        <f>MIN('Debt Service'!J15:V15)*B5*B6/B7</f>
        <v>0.4580995534240061</v>
      </c>
      <c r="C14" s="21">
        <f>MIN('Debt Service'!J15:V15)*C5*C6/C7</f>
        <v>0.6998743177311203</v>
      </c>
      <c r="D14" s="21">
        <f>MIN('Debt Service'!J15:V15)*D5*D6/D7</f>
        <v>0.92825435825390701</v>
      </c>
      <c r="E14" s="18" t="s">
        <v>559</v>
      </c>
      <c r="F14" s="18" t="s">
        <v>560</v>
      </c>
      <c r="G14" s="18" t="s">
        <v>561</v>
      </c>
      <c r="H14" s="19" t="s">
        <v>28</v>
      </c>
      <c r="I14" s="19" t="s">
        <v>531</v>
      </c>
    </row>
  </sheetData>
  <mergeCells count="2">
    <mergeCell ref="A1:I1"/>
    <mergeCell ref="A2:I2"/>
  </mergeCells>
  <pageMargins left="0.25" right="0.25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customHeight="1" x14ac:dyDescent="0.25"/>
  <cols>
    <col min="1" max="1" width="42" customWidth="1"/>
    <col min="2" max="4" width="16" customWidth="1"/>
    <col min="5" max="5" width="20" customWidth="1"/>
  </cols>
  <sheetData>
    <row r="1" spans="1:5" ht="25.5" customHeight="1" x14ac:dyDescent="0.25">
      <c r="A1" s="13" t="s">
        <v>569</v>
      </c>
      <c r="B1" s="13"/>
      <c r="C1" s="13"/>
      <c r="D1" s="13"/>
      <c r="E1" s="13"/>
    </row>
    <row r="2" spans="1:5" ht="31.5" customHeight="1" x14ac:dyDescent="0.25">
      <c r="A2" s="12" t="s">
        <v>570</v>
      </c>
      <c r="B2" s="12"/>
      <c r="C2" s="12"/>
      <c r="D2" s="12"/>
      <c r="E2" s="12"/>
    </row>
    <row r="4" spans="1:5" ht="15" customHeight="1" x14ac:dyDescent="0.25">
      <c r="A4" s="75" t="s">
        <v>571</v>
      </c>
      <c r="B4" s="75" t="s">
        <v>338</v>
      </c>
      <c r="C4" s="75" t="s">
        <v>572</v>
      </c>
      <c r="D4" s="75" t="s">
        <v>342</v>
      </c>
      <c r="E4" s="75" t="s">
        <v>67</v>
      </c>
    </row>
    <row r="5" spans="1:5" ht="15" customHeight="1" x14ac:dyDescent="0.25">
      <c r="A5" s="15" t="s">
        <v>573</v>
      </c>
      <c r="B5" s="21">
        <v>0.8</v>
      </c>
      <c r="C5" s="21">
        <v>1</v>
      </c>
      <c r="D5" s="21">
        <v>1.2</v>
      </c>
      <c r="E5" s="19" t="s">
        <v>574</v>
      </c>
    </row>
    <row r="6" spans="1:5" ht="15" customHeight="1" x14ac:dyDescent="0.25">
      <c r="A6" s="15" t="s">
        <v>575</v>
      </c>
      <c r="B6" s="21">
        <v>0.9</v>
      </c>
      <c r="C6" s="21">
        <v>1</v>
      </c>
      <c r="D6" s="21">
        <v>1.1000000000000001</v>
      </c>
      <c r="E6" s="19" t="s">
        <v>576</v>
      </c>
    </row>
    <row r="7" spans="1:5" ht="15" customHeight="1" x14ac:dyDescent="0.25">
      <c r="A7" s="15" t="s">
        <v>271</v>
      </c>
      <c r="B7" s="21">
        <v>1.2</v>
      </c>
      <c r="C7" s="21">
        <v>1</v>
      </c>
      <c r="D7" s="21">
        <v>0.9</v>
      </c>
      <c r="E7" s="19" t="s">
        <v>577</v>
      </c>
    </row>
    <row r="8" spans="1:5" ht="15" customHeight="1" x14ac:dyDescent="0.25">
      <c r="A8" s="15" t="s">
        <v>335</v>
      </c>
      <c r="B8" s="21">
        <v>1.2</v>
      </c>
      <c r="C8" s="21">
        <v>1</v>
      </c>
      <c r="D8" s="21">
        <v>0.9</v>
      </c>
      <c r="E8" s="19" t="s">
        <v>578</v>
      </c>
    </row>
    <row r="9" spans="1:5" ht="15" customHeight="1" x14ac:dyDescent="0.25">
      <c r="A9" s="15" t="s">
        <v>579</v>
      </c>
      <c r="B9" s="19">
        <v>8.5000000000000006E-2</v>
      </c>
      <c r="C9" s="19">
        <v>5.5E-2</v>
      </c>
      <c r="D9" s="19">
        <v>4.4999999999999998E-2</v>
      </c>
      <c r="E9" s="19" t="s">
        <v>580</v>
      </c>
    </row>
    <row r="10" spans="1:5" ht="15" customHeight="1" x14ac:dyDescent="0.25">
      <c r="A10" s="15" t="s">
        <v>285</v>
      </c>
      <c r="B10" s="19">
        <v>11</v>
      </c>
      <c r="C10" s="19">
        <v>16</v>
      </c>
      <c r="D10" s="19">
        <v>18</v>
      </c>
      <c r="E10" s="19" t="s">
        <v>581</v>
      </c>
    </row>
    <row r="11" spans="1:5" ht="15" customHeight="1" x14ac:dyDescent="0.25">
      <c r="A11" s="15" t="s">
        <v>582</v>
      </c>
      <c r="B11" s="19">
        <v>2</v>
      </c>
      <c r="C11" s="19">
        <v>0</v>
      </c>
      <c r="D11" s="19">
        <v>-1</v>
      </c>
      <c r="E11" s="19" t="s">
        <v>583</v>
      </c>
    </row>
    <row r="13" spans="1:5" ht="15" customHeight="1" x14ac:dyDescent="0.25">
      <c r="A13" s="11" t="s">
        <v>584</v>
      </c>
      <c r="B13" s="11"/>
      <c r="C13" s="11"/>
      <c r="D13" s="11"/>
      <c r="E13" s="11"/>
    </row>
    <row r="14" spans="1:5" ht="15" customHeight="1" x14ac:dyDescent="0.25">
      <c r="A14" s="15" t="s">
        <v>585</v>
      </c>
      <c r="B14" s="21">
        <f>'Credit Metrics'!B12</f>
        <v>0.6998743177311203</v>
      </c>
      <c r="C14" s="19" t="s">
        <v>29</v>
      </c>
    </row>
    <row r="15" spans="1:5" ht="15" customHeight="1" x14ac:dyDescent="0.25">
      <c r="A15" s="15" t="s">
        <v>586</v>
      </c>
      <c r="B15" s="23">
        <f>'Credit Metrics'!B17</f>
        <v>0.14522166791157098</v>
      </c>
      <c r="C15" s="19" t="s">
        <v>38</v>
      </c>
    </row>
    <row r="16" spans="1:5" ht="15" customHeight="1" x14ac:dyDescent="0.25">
      <c r="A16" s="15" t="s">
        <v>587</v>
      </c>
      <c r="B16" s="23">
        <f>'Credit Metrics'!B18</f>
        <v>9.4378976883511267E-2</v>
      </c>
      <c r="C16" s="19" t="s">
        <v>40</v>
      </c>
    </row>
    <row r="17" spans="1:3" ht="15" customHeight="1" x14ac:dyDescent="0.25">
      <c r="A17" s="15" t="s">
        <v>24</v>
      </c>
      <c r="B17" s="17" t="e">
        <f>'Credit Metrics'!B8</f>
        <v>#N/A</v>
      </c>
      <c r="C17" s="19" t="s">
        <v>23</v>
      </c>
    </row>
    <row r="18" spans="1:3" ht="15" customHeight="1" x14ac:dyDescent="0.25">
      <c r="A18" s="15" t="s">
        <v>27</v>
      </c>
      <c r="B18" s="17" t="e">
        <f>'Credit Metrics'!B9</f>
        <v>#N/A</v>
      </c>
      <c r="C18" s="19" t="s">
        <v>588</v>
      </c>
    </row>
  </sheetData>
  <mergeCells count="3">
    <mergeCell ref="A1:E1"/>
    <mergeCell ref="A2:E2"/>
    <mergeCell ref="A13:E1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Q32"/>
  <sheetViews>
    <sheetView showGridLines="0" zoomScale="55" zoomScaleNormal="55" workbookViewId="0"/>
  </sheetViews>
  <sheetFormatPr defaultColWidth="8.7109375" defaultRowHeight="15" customHeight="1" x14ac:dyDescent="0.25"/>
  <cols>
    <col min="1" max="1" width="3" customWidth="1"/>
    <col min="2" max="16" width="12" customWidth="1"/>
    <col min="17" max="17" width="3" customWidth="1"/>
  </cols>
  <sheetData>
    <row r="1" spans="1:17" ht="27.75" customHeight="1" x14ac:dyDescent="0.25">
      <c r="A1" s="87" t="s">
        <v>589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27.7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ht="24" customHeight="1" x14ac:dyDescent="0.25">
      <c r="A3" s="88" t="s">
        <v>590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5" spans="1:17" ht="45" customHeight="1" x14ac:dyDescent="0.25">
      <c r="G5" s="89" t="s">
        <v>591</v>
      </c>
      <c r="H5" s="89"/>
      <c r="I5" s="89"/>
      <c r="J5" s="89"/>
      <c r="K5" s="89"/>
    </row>
    <row r="6" spans="1:17" ht="45" customHeight="1" x14ac:dyDescent="0.25">
      <c r="G6" s="89"/>
      <c r="H6" s="89"/>
      <c r="I6" s="89"/>
      <c r="J6" s="89"/>
      <c r="K6" s="89"/>
    </row>
    <row r="7" spans="1:17" ht="45" customHeight="1" x14ac:dyDescent="0.25">
      <c r="G7" s="89"/>
      <c r="H7" s="89"/>
      <c r="I7" s="89"/>
      <c r="J7" s="89"/>
      <c r="K7" s="89"/>
    </row>
    <row r="8" spans="1:17" ht="15" customHeight="1" x14ac:dyDescent="0.25">
      <c r="G8" s="83"/>
      <c r="H8" s="83"/>
      <c r="I8" s="83"/>
      <c r="J8" s="83"/>
      <c r="K8" s="83"/>
    </row>
    <row r="9" spans="1:17" ht="31.5" customHeight="1" x14ac:dyDescent="0.25">
      <c r="D9" s="90" t="s">
        <v>592</v>
      </c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7" ht="31.5" customHeight="1" x14ac:dyDescent="0.25"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7" ht="31.5" customHeight="1" x14ac:dyDescent="0.25"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</row>
    <row r="12" spans="1:17" ht="31.5" customHeight="1" x14ac:dyDescent="0.25"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</row>
    <row r="13" spans="1:17" ht="15" customHeigh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7" ht="31.5" customHeight="1" x14ac:dyDescent="0.25">
      <c r="B14" s="91" t="s">
        <v>593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</row>
    <row r="15" spans="1:17" ht="31.5" customHeight="1" x14ac:dyDescent="0.25"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</row>
    <row r="16" spans="1:17" ht="15" customHeight="1" x14ac:dyDescent="0.25"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</row>
    <row r="17" spans="1:17" ht="27.75" customHeight="1" x14ac:dyDescent="0.25">
      <c r="B17" s="92" t="s">
        <v>594</v>
      </c>
      <c r="C17" s="92"/>
      <c r="D17" s="92"/>
      <c r="E17" s="92" t="s">
        <v>595</v>
      </c>
      <c r="F17" s="92"/>
      <c r="G17" s="92"/>
      <c r="H17" s="93" t="s">
        <v>596</v>
      </c>
      <c r="I17" s="93"/>
      <c r="J17" s="93"/>
      <c r="K17" s="94" t="s">
        <v>597</v>
      </c>
      <c r="L17" s="94"/>
      <c r="M17" s="94"/>
      <c r="N17" s="95" t="s">
        <v>598</v>
      </c>
      <c r="O17" s="95"/>
      <c r="P17" s="95"/>
    </row>
    <row r="18" spans="1:17" ht="27.75" customHeight="1" x14ac:dyDescent="0.25">
      <c r="B18" s="92"/>
      <c r="C18" s="92"/>
      <c r="D18" s="92"/>
      <c r="E18" s="92"/>
      <c r="F18" s="92"/>
      <c r="G18" s="92"/>
      <c r="H18" s="93"/>
      <c r="I18" s="93"/>
      <c r="J18" s="93"/>
      <c r="K18" s="94"/>
      <c r="L18" s="94"/>
      <c r="M18" s="94"/>
      <c r="N18" s="95"/>
      <c r="O18" s="95"/>
      <c r="P18" s="95"/>
    </row>
    <row r="19" spans="1:17" ht="27.75" customHeight="1" x14ac:dyDescent="0.25">
      <c r="B19" s="92"/>
      <c r="C19" s="92"/>
      <c r="D19" s="92"/>
      <c r="E19" s="92"/>
      <c r="F19" s="92"/>
      <c r="G19" s="92"/>
      <c r="H19" s="93"/>
      <c r="I19" s="93"/>
      <c r="J19" s="93"/>
      <c r="K19" s="94"/>
      <c r="L19" s="94"/>
      <c r="M19" s="94"/>
      <c r="N19" s="95"/>
      <c r="O19" s="95"/>
      <c r="P19" s="95"/>
    </row>
    <row r="20" spans="1:17" ht="27.75" customHeight="1" x14ac:dyDescent="0.25">
      <c r="B20" s="92"/>
      <c r="C20" s="92"/>
      <c r="D20" s="92"/>
      <c r="E20" s="92"/>
      <c r="F20" s="92"/>
      <c r="G20" s="92"/>
      <c r="H20" s="93"/>
      <c r="I20" s="93"/>
      <c r="J20" s="93"/>
      <c r="K20" s="94"/>
      <c r="L20" s="94"/>
      <c r="M20" s="94"/>
      <c r="N20" s="95"/>
      <c r="O20" s="95"/>
      <c r="P20" s="95"/>
    </row>
    <row r="21" spans="1:17" ht="27.75" customHeight="1" x14ac:dyDescent="0.25">
      <c r="B21" s="92"/>
      <c r="C21" s="92"/>
      <c r="D21" s="92"/>
      <c r="E21" s="92"/>
      <c r="F21" s="92"/>
      <c r="G21" s="92"/>
      <c r="H21" s="93"/>
      <c r="I21" s="93"/>
      <c r="J21" s="93"/>
      <c r="K21" s="94"/>
      <c r="L21" s="94"/>
      <c r="M21" s="94"/>
      <c r="N21" s="95"/>
      <c r="O21" s="95"/>
      <c r="P21" s="95"/>
    </row>
    <row r="22" spans="1:17" ht="15" customHeight="1" x14ac:dyDescent="0.25">
      <c r="H22" s="83"/>
      <c r="I22" s="83"/>
      <c r="J22" s="83"/>
    </row>
    <row r="23" spans="1:17" ht="31.5" customHeight="1" x14ac:dyDescent="0.25">
      <c r="D23" s="96" t="s">
        <v>599</v>
      </c>
      <c r="E23" s="96"/>
      <c r="F23" s="96"/>
      <c r="G23" s="96"/>
      <c r="H23" s="96"/>
      <c r="I23" s="96"/>
      <c r="J23" s="96"/>
      <c r="K23" s="96"/>
      <c r="L23" s="96"/>
      <c r="M23" s="96"/>
      <c r="N23" s="96"/>
    </row>
    <row r="24" spans="1:17" ht="31.5" customHeight="1" x14ac:dyDescent="0.25"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</row>
    <row r="25" spans="1:17" ht="15" customHeight="1" x14ac:dyDescent="0.25">
      <c r="H25" s="83"/>
      <c r="I25" s="83"/>
      <c r="J25" s="83"/>
    </row>
    <row r="26" spans="1:17" ht="30" customHeight="1" x14ac:dyDescent="0.25">
      <c r="D26" s="90" t="s">
        <v>600</v>
      </c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7" ht="30" customHeight="1" x14ac:dyDescent="0.25"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7" ht="30" customHeight="1" x14ac:dyDescent="0.25"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spans="1:17" ht="30" customHeight="1" x14ac:dyDescent="0.25"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</row>
    <row r="30" spans="1:17" ht="30" customHeight="1" x14ac:dyDescent="0.25"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</row>
    <row r="32" spans="1:17" ht="27.75" customHeight="1" x14ac:dyDescent="0.25">
      <c r="A32" s="97" t="s">
        <v>601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</sheetData>
  <mergeCells count="13">
    <mergeCell ref="D23:N24"/>
    <mergeCell ref="D26:N30"/>
    <mergeCell ref="A32:Q32"/>
    <mergeCell ref="B17:D21"/>
    <mergeCell ref="E17:G21"/>
    <mergeCell ref="H17:J21"/>
    <mergeCell ref="K17:M21"/>
    <mergeCell ref="N17:P21"/>
    <mergeCell ref="A1:Q2"/>
    <mergeCell ref="A3:Q3"/>
    <mergeCell ref="G5:K7"/>
    <mergeCell ref="D9:N12"/>
    <mergeCell ref="B14:P15"/>
  </mergeCells>
  <pageMargins left="0.25" right="0.25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7"/>
  <sheetViews>
    <sheetView showGridLines="0" zoomScaleNormal="100" workbookViewId="0">
      <pane ySplit="2" topLeftCell="A3" activePane="bottomLeft" state="frozen"/>
      <selection pane="bottomLeft" activeCell="B19" sqref="B19"/>
    </sheetView>
  </sheetViews>
  <sheetFormatPr defaultColWidth="8.7109375" defaultRowHeight="15" customHeight="1" x14ac:dyDescent="0.25"/>
  <cols>
    <col min="1" max="1" width="25" customWidth="1"/>
    <col min="2" max="2" width="110" customWidth="1"/>
  </cols>
  <sheetData>
    <row r="1" spans="1:2" ht="22.5" customHeight="1" x14ac:dyDescent="0.25">
      <c r="A1" s="14" t="s">
        <v>602</v>
      </c>
      <c r="B1" s="14"/>
    </row>
    <row r="2" spans="1:2" ht="15" customHeight="1" x14ac:dyDescent="0.25">
      <c r="A2" s="85" t="s">
        <v>297</v>
      </c>
      <c r="B2" s="85" t="s">
        <v>603</v>
      </c>
    </row>
    <row r="3" spans="1:2" ht="30" customHeight="1" x14ac:dyDescent="0.25">
      <c r="A3" s="86" t="s">
        <v>604</v>
      </c>
      <c r="B3" s="86" t="s">
        <v>605</v>
      </c>
    </row>
    <row r="4" spans="1:2" ht="30" customHeight="1" x14ac:dyDescent="0.25">
      <c r="A4" s="86" t="s">
        <v>606</v>
      </c>
      <c r="B4" s="86" t="s">
        <v>607</v>
      </c>
    </row>
    <row r="5" spans="1:2" ht="15" customHeight="1" x14ac:dyDescent="0.25">
      <c r="A5" s="86" t="s">
        <v>608</v>
      </c>
      <c r="B5" s="86" t="s">
        <v>609</v>
      </c>
    </row>
    <row r="6" spans="1:2" ht="30" customHeight="1" x14ac:dyDescent="0.25">
      <c r="A6" s="86" t="s">
        <v>610</v>
      </c>
      <c r="B6" s="86" t="s">
        <v>611</v>
      </c>
    </row>
    <row r="7" spans="1:2" ht="30" customHeight="1" x14ac:dyDescent="0.25">
      <c r="A7" s="86" t="s">
        <v>612</v>
      </c>
      <c r="B7" s="86" t="s">
        <v>613</v>
      </c>
    </row>
  </sheetData>
  <mergeCells count="1">
    <mergeCell ref="A1:B1"/>
  </mergeCell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Bankability Summary</vt:lpstr>
      <vt:lpstr>Profitability Case</vt:lpstr>
      <vt:lpstr>ROI &amp; Investor Returns</vt:lpstr>
      <vt:lpstr>Dashboard</vt:lpstr>
      <vt:lpstr>CAPEX</vt:lpstr>
      <vt:lpstr>Inputs</vt:lpstr>
      <vt:lpstr>Scenarios</vt:lpstr>
      <vt:lpstr>CAPEX1</vt:lpstr>
      <vt:lpstr>Operations</vt:lpstr>
      <vt:lpstr>Project Cash Flow</vt:lpstr>
      <vt:lpstr>Financing</vt:lpstr>
      <vt:lpstr>Returns &amp; Metrics</vt:lpstr>
      <vt:lpstr>Sources &amp; Uses</vt:lpstr>
      <vt:lpstr>Sensitivity</vt:lpstr>
      <vt:lpstr>Model Checks</vt:lpstr>
      <vt:lpstr>Model Guide</vt:lpstr>
      <vt:lpstr>Bankability CF</vt:lpstr>
      <vt:lpstr>Debt Service</vt:lpstr>
      <vt:lpstr>Credit Metrics</vt:lpstr>
      <vt:lpstr>Scenario Analysis</vt:lpstr>
      <vt:lpstr>Sensitivity Matrix</vt:lpstr>
      <vt:lpstr>Governance Organogram</vt:lpstr>
      <vt:lpstr>Section 9 Source Structure</vt:lpstr>
      <vt:lpstr>'Governance Organogram'!Print_Area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Manus Heunis</cp:lastModifiedBy>
  <dcterms:modified xsi:type="dcterms:W3CDTF">2026-09-01T06:26:44Z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2026-08-26T12:59:21Z</dcterms:created>
  <dc:creator>openpyxl</dc:creator>
  <dc:description/>
  <dc:language>en-US</dc:language>
  <cp:lastModifiedBy>Manus Heunis</cp:lastModifiedBy>
  <cp:lastPrinted>2026-08-28T11:10:10Z</cp:lastPrinted>
  <dcterms:modified xsi:type="dcterms:W3CDTF">2026-08-28T12:20:18Z</dcterms:modified>
  <cp:revision>0</cp:revision>
  <dc:subject/>
  <dc:title/>
</cp:coreProperties>
</file>