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 reservationPassword="9DEB"/>
  <workbookPr/>
  <mc:AlternateContent xmlns:mc="http://schemas.openxmlformats.org/markup-compatibility/2006">
    <mc:Choice Requires="x15">
      <x15ac:absPath xmlns:x15ac="http://schemas.microsoft.com/office/spreadsheetml/2010/11/ac" url="https://d.docs.live.net/2fbca3530b6f5ace/Documents/PROJECTS/WESTERN CAPE/WEST COAST/INVESTMENT DOCS/"/>
    </mc:Choice>
  </mc:AlternateContent>
  <xr:revisionPtr revIDLastSave="294" documentId="13_ncr:1_{972189B9-4354-4A9A-BC34-6E58419A3DBB}" xr6:coauthVersionLast="47" xr6:coauthVersionMax="47" xr10:uidLastSave="{DC717E54-7FA3-42A5-B01E-F5479CE74A72}"/>
  <workbookProtection lockStructure="1" workbookPassword="9DEB"/>
  <bookViews>
    <workbookView xWindow="-120" yWindow="-120" windowWidth="29040" windowHeight="15840" firstSheet="3" activeTab="11" xr2:uid="{00000000-000D-0000-FFFF-FFFF00000000}"/>
  </bookViews>
  <sheets>
    <sheet name="Dashboard" sheetId="1" r:id="rId1"/>
    <sheet name="CAPEX" sheetId="2" r:id="rId2"/>
    <sheet name="Inputs" sheetId="3" r:id="rId3"/>
    <sheet name="Scenarios" sheetId="4" r:id="rId4"/>
    <sheet name="CAPEX1" sheetId="5" r:id="rId5"/>
    <sheet name="Operations" sheetId="6" r:id="rId6"/>
    <sheet name="Project Cash Flow" sheetId="7" r:id="rId7"/>
    <sheet name="Financing" sheetId="8" r:id="rId8"/>
    <sheet name="Returns &amp; Metrics" sheetId="9" r:id="rId9"/>
    <sheet name="Sources &amp; Uses" sheetId="10" r:id="rId10"/>
    <sheet name="Sensitivity" sheetId="11" r:id="rId11"/>
    <sheet name="Model Checks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7" l="1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6" i="6"/>
  <c r="G3" i="6"/>
  <c r="B34" i="3"/>
  <c r="B3" i="6"/>
  <c r="B7" i="6" s="1"/>
  <c r="F7" i="6" s="1"/>
  <c r="B25" i="3"/>
  <c r="B8" i="12"/>
  <c r="D8" i="12" s="1"/>
  <c r="B7" i="12"/>
  <c r="D7" i="12" s="1"/>
  <c r="B6" i="12"/>
  <c r="D6" i="12" s="1"/>
  <c r="B5" i="12"/>
  <c r="D5" i="12" s="1"/>
  <c r="F11" i="10"/>
  <c r="F12" i="10" s="1"/>
  <c r="D11" i="10"/>
  <c r="D12" i="10" s="1"/>
  <c r="B11" i="10"/>
  <c r="B12" i="10" s="1"/>
  <c r="B6" i="9"/>
  <c r="B5" i="9"/>
  <c r="B25" i="8"/>
  <c r="B24" i="8"/>
  <c r="B23" i="8"/>
  <c r="B22" i="8"/>
  <c r="B21" i="8"/>
  <c r="B20" i="8"/>
  <c r="B19" i="8"/>
  <c r="B18" i="8"/>
  <c r="B17" i="8"/>
  <c r="B16" i="8"/>
  <c r="B15" i="8"/>
  <c r="G12" i="8"/>
  <c r="G11" i="8"/>
  <c r="G10" i="8"/>
  <c r="G9" i="8"/>
  <c r="G8" i="8"/>
  <c r="G7" i="8"/>
  <c r="G6" i="8"/>
  <c r="G5" i="8"/>
  <c r="F5" i="8"/>
  <c r="I5" i="8" s="1"/>
  <c r="C5" i="8"/>
  <c r="J25" i="7"/>
  <c r="F25" i="7"/>
  <c r="J24" i="7"/>
  <c r="F24" i="7"/>
  <c r="J23" i="7"/>
  <c r="F23" i="7"/>
  <c r="J22" i="7"/>
  <c r="F22" i="7"/>
  <c r="J21" i="7"/>
  <c r="F21" i="7"/>
  <c r="J20" i="7"/>
  <c r="F20" i="7"/>
  <c r="J19" i="7"/>
  <c r="F19" i="7"/>
  <c r="J18" i="7"/>
  <c r="F18" i="7"/>
  <c r="J17" i="7"/>
  <c r="F17" i="7"/>
  <c r="J16" i="7"/>
  <c r="J15" i="7"/>
  <c r="J14" i="7"/>
  <c r="J13" i="7"/>
  <c r="J12" i="7"/>
  <c r="J11" i="7"/>
  <c r="J10" i="7"/>
  <c r="J9" i="7"/>
  <c r="J8" i="7"/>
  <c r="J7" i="7"/>
  <c r="J6" i="7"/>
  <c r="J5" i="7"/>
  <c r="E26" i="6"/>
  <c r="D26" i="6"/>
  <c r="C26" i="6"/>
  <c r="J25" i="6"/>
  <c r="I25" i="6"/>
  <c r="H25" i="6"/>
  <c r="J24" i="6"/>
  <c r="I24" i="6"/>
  <c r="H24" i="6"/>
  <c r="J23" i="6"/>
  <c r="I23" i="6"/>
  <c r="H23" i="6"/>
  <c r="J22" i="6"/>
  <c r="I22" i="6"/>
  <c r="H22" i="6"/>
  <c r="J21" i="6"/>
  <c r="I21" i="6"/>
  <c r="H21" i="6"/>
  <c r="J20" i="6"/>
  <c r="I20" i="6"/>
  <c r="H20" i="6"/>
  <c r="J19" i="6"/>
  <c r="I19" i="6"/>
  <c r="H19" i="6"/>
  <c r="J18" i="6"/>
  <c r="I18" i="6"/>
  <c r="H18" i="6"/>
  <c r="J17" i="6"/>
  <c r="I17" i="6"/>
  <c r="H17" i="6"/>
  <c r="J16" i="6"/>
  <c r="I16" i="6"/>
  <c r="H16" i="6"/>
  <c r="J15" i="6"/>
  <c r="I15" i="6"/>
  <c r="H15" i="6"/>
  <c r="J14" i="6"/>
  <c r="I14" i="6"/>
  <c r="H14" i="6"/>
  <c r="J13" i="6"/>
  <c r="I13" i="6"/>
  <c r="H13" i="6"/>
  <c r="J12" i="6"/>
  <c r="I12" i="6"/>
  <c r="H12" i="6"/>
  <c r="J11" i="6"/>
  <c r="I11" i="6"/>
  <c r="H11" i="6"/>
  <c r="J10" i="6"/>
  <c r="I10" i="6"/>
  <c r="H10" i="6"/>
  <c r="J9" i="6"/>
  <c r="I9" i="6"/>
  <c r="H9" i="6"/>
  <c r="J8" i="6"/>
  <c r="I8" i="6"/>
  <c r="H8" i="6"/>
  <c r="J7" i="6"/>
  <c r="I7" i="6"/>
  <c r="H7" i="6"/>
  <c r="J6" i="6"/>
  <c r="I6" i="6"/>
  <c r="H6" i="6"/>
  <c r="J5" i="6"/>
  <c r="I5" i="6"/>
  <c r="H5" i="6"/>
  <c r="G5" i="6"/>
  <c r="F5" i="6"/>
  <c r="G26" i="5"/>
  <c r="F26" i="5"/>
  <c r="E26" i="5"/>
  <c r="D26" i="5"/>
  <c r="C26" i="5"/>
  <c r="B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H5" i="5" s="1"/>
  <c r="F26" i="2"/>
  <c r="E26" i="2"/>
  <c r="D26" i="2"/>
  <c r="C26" i="2"/>
  <c r="B9" i="12" s="1"/>
  <c r="D9" i="12" s="1"/>
  <c r="B26" i="2"/>
  <c r="G25" i="2"/>
  <c r="G24" i="2"/>
  <c r="G23" i="2"/>
  <c r="G22" i="2"/>
  <c r="G21" i="2"/>
  <c r="G20" i="2"/>
  <c r="G19" i="2"/>
  <c r="G18" i="2"/>
  <c r="G17" i="2"/>
  <c r="G16" i="2"/>
  <c r="F16" i="7" s="1"/>
  <c r="G15" i="2"/>
  <c r="F15" i="7" s="1"/>
  <c r="G14" i="2"/>
  <c r="G13" i="2"/>
  <c r="G12" i="2"/>
  <c r="G11" i="2"/>
  <c r="G10" i="2"/>
  <c r="G9" i="2"/>
  <c r="G8" i="2"/>
  <c r="G7" i="2"/>
  <c r="G6" i="2"/>
  <c r="G5" i="2"/>
  <c r="B11" i="1"/>
  <c r="B10" i="1"/>
  <c r="B9" i="1"/>
  <c r="B8" i="1"/>
  <c r="B6" i="1"/>
  <c r="G7" i="6" l="1"/>
  <c r="B8" i="6"/>
  <c r="K7" i="6"/>
  <c r="C7" i="7" s="1"/>
  <c r="J26" i="6"/>
  <c r="K6" i="6"/>
  <c r="C6" i="7" s="1"/>
  <c r="F6" i="6"/>
  <c r="H26" i="6"/>
  <c r="I26" i="6"/>
  <c r="C25" i="8"/>
  <c r="D25" i="8" s="1"/>
  <c r="C24" i="8"/>
  <c r="D24" i="8"/>
  <c r="C23" i="8"/>
  <c r="D23" i="8" s="1"/>
  <c r="C22" i="8"/>
  <c r="D22" i="8" s="1"/>
  <c r="C21" i="8"/>
  <c r="D21" i="8" s="1"/>
  <c r="C20" i="8"/>
  <c r="D20" i="8" s="1"/>
  <c r="C19" i="8"/>
  <c r="D19" i="8" s="1"/>
  <c r="D18" i="8"/>
  <c r="C18" i="8"/>
  <c r="C17" i="8"/>
  <c r="D17" i="8" s="1"/>
  <c r="C16" i="8"/>
  <c r="D16" i="8"/>
  <c r="C15" i="8"/>
  <c r="D15" i="8" s="1"/>
  <c r="K5" i="8"/>
  <c r="H5" i="8"/>
  <c r="B7" i="7"/>
  <c r="E7" i="7" s="1"/>
  <c r="K5" i="6"/>
  <c r="L5" i="6"/>
  <c r="B5" i="7"/>
  <c r="M5" i="6"/>
  <c r="H6" i="5"/>
  <c r="B14" i="8"/>
  <c r="F14" i="7"/>
  <c r="B13" i="8"/>
  <c r="F13" i="7"/>
  <c r="B12" i="8"/>
  <c r="F12" i="7"/>
  <c r="B11" i="8"/>
  <c r="F11" i="7"/>
  <c r="B10" i="8"/>
  <c r="F10" i="7"/>
  <c r="B9" i="8"/>
  <c r="F9" i="7"/>
  <c r="B8" i="8"/>
  <c r="F8" i="7"/>
  <c r="B7" i="8"/>
  <c r="F7" i="7"/>
  <c r="F6" i="7"/>
  <c r="B6" i="8"/>
  <c r="F5" i="7"/>
  <c r="F26" i="7" s="1"/>
  <c r="B5" i="8"/>
  <c r="B10" i="12"/>
  <c r="D10" i="12" s="1"/>
  <c r="H5" i="2"/>
  <c r="G26" i="2"/>
  <c r="B5" i="1" s="1"/>
  <c r="B9" i="6" l="1"/>
  <c r="G8" i="6"/>
  <c r="F8" i="6"/>
  <c r="B8" i="7" s="1"/>
  <c r="E8" i="7" s="1"/>
  <c r="F9" i="6"/>
  <c r="B9" i="7" s="1"/>
  <c r="E9" i="7" s="1"/>
  <c r="K8" i="6"/>
  <c r="C8" i="7" s="1"/>
  <c r="L7" i="6"/>
  <c r="D7" i="7" s="1"/>
  <c r="L6" i="6"/>
  <c r="D6" i="7" s="1"/>
  <c r="B6" i="7"/>
  <c r="E6" i="7" s="1"/>
  <c r="E6" i="8"/>
  <c r="C5" i="7"/>
  <c r="D5" i="7"/>
  <c r="E5" i="7"/>
  <c r="C14" i="8"/>
  <c r="D14" i="8" s="1"/>
  <c r="C13" i="8"/>
  <c r="D13" i="8"/>
  <c r="C12" i="8"/>
  <c r="D12" i="8"/>
  <c r="C11" i="8"/>
  <c r="D11" i="8"/>
  <c r="C10" i="8"/>
  <c r="D10" i="8"/>
  <c r="C9" i="8"/>
  <c r="D9" i="8"/>
  <c r="C8" i="8"/>
  <c r="D8" i="8"/>
  <c r="C7" i="8"/>
  <c r="D7" i="8" s="1"/>
  <c r="C6" i="8"/>
  <c r="D6" i="8"/>
  <c r="D5" i="8"/>
  <c r="B26" i="8"/>
  <c r="H6" i="2"/>
  <c r="H7" i="5"/>
  <c r="H8" i="5" s="1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B10" i="6" l="1"/>
  <c r="G9" i="6"/>
  <c r="K9" i="6" s="1"/>
  <c r="L8" i="6"/>
  <c r="D8" i="7" s="1"/>
  <c r="G8" i="7" s="1"/>
  <c r="J8" i="8" s="1"/>
  <c r="M7" i="6"/>
  <c r="M6" i="6"/>
  <c r="F6" i="8"/>
  <c r="H6" i="8"/>
  <c r="G5" i="7"/>
  <c r="J5" i="8" s="1"/>
  <c r="C26" i="8"/>
  <c r="D26" i="8"/>
  <c r="G7" i="7"/>
  <c r="G6" i="7"/>
  <c r="H7" i="2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B7" i="1"/>
  <c r="C9" i="7" l="1"/>
  <c r="L9" i="6"/>
  <c r="B11" i="6"/>
  <c r="G10" i="6"/>
  <c r="K10" i="6" s="1"/>
  <c r="C10" i="7" s="1"/>
  <c r="F10" i="6"/>
  <c r="B10" i="7" s="1"/>
  <c r="E10" i="7" s="1"/>
  <c r="M8" i="6"/>
  <c r="I8" i="7"/>
  <c r="K8" i="7" s="1"/>
  <c r="F12" i="6"/>
  <c r="L8" i="8"/>
  <c r="I5" i="7"/>
  <c r="L5" i="8" s="1"/>
  <c r="M5" i="8" s="1"/>
  <c r="I6" i="8"/>
  <c r="E7" i="8"/>
  <c r="L5" i="7"/>
  <c r="J7" i="8"/>
  <c r="I7" i="7"/>
  <c r="J6" i="8"/>
  <c r="I6" i="7"/>
  <c r="L10" i="6" l="1"/>
  <c r="D9" i="7"/>
  <c r="M9" i="6"/>
  <c r="G11" i="6"/>
  <c r="K11" i="6" s="1"/>
  <c r="C11" i="7" s="1"/>
  <c r="F11" i="6"/>
  <c r="B22" i="9"/>
  <c r="K12" i="6"/>
  <c r="L12" i="6" s="1"/>
  <c r="F13" i="6"/>
  <c r="K13" i="6"/>
  <c r="C13" i="7" s="1"/>
  <c r="B12" i="7"/>
  <c r="B19" i="9"/>
  <c r="K6" i="8"/>
  <c r="F7" i="8"/>
  <c r="H7" i="8"/>
  <c r="B21" i="9"/>
  <c r="K7" i="7"/>
  <c r="L7" i="8"/>
  <c r="B20" i="9"/>
  <c r="K6" i="7"/>
  <c r="L6" i="8"/>
  <c r="L6" i="7"/>
  <c r="L7" i="7" s="1"/>
  <c r="L8" i="7" s="1"/>
  <c r="L11" i="6" l="1"/>
  <c r="B11" i="7"/>
  <c r="E11" i="7" s="1"/>
  <c r="G9" i="7"/>
  <c r="J9" i="8" s="1"/>
  <c r="D10" i="7"/>
  <c r="G10" i="7" s="1"/>
  <c r="M10" i="6"/>
  <c r="D12" i="7"/>
  <c r="M12" i="6"/>
  <c r="C12" i="7"/>
  <c r="F14" i="6"/>
  <c r="B13" i="7"/>
  <c r="E13" i="7" s="1"/>
  <c r="L13" i="6"/>
  <c r="D13" i="7" s="1"/>
  <c r="E12" i="7"/>
  <c r="I7" i="8"/>
  <c r="E8" i="8"/>
  <c r="M6" i="8"/>
  <c r="M7" i="8" s="1"/>
  <c r="M8" i="8" s="1"/>
  <c r="I9" i="7" l="1"/>
  <c r="J10" i="8"/>
  <c r="I10" i="7"/>
  <c r="K10" i="7" s="1"/>
  <c r="D11" i="7"/>
  <c r="M11" i="6"/>
  <c r="B14" i="7"/>
  <c r="E14" i="7" s="1"/>
  <c r="M13" i="6"/>
  <c r="G13" i="7"/>
  <c r="I13" i="7" s="1"/>
  <c r="K14" i="6"/>
  <c r="K15" i="6"/>
  <c r="C15" i="7" s="1"/>
  <c r="F15" i="6"/>
  <c r="G12" i="7"/>
  <c r="J12" i="8" s="1"/>
  <c r="K7" i="8"/>
  <c r="F8" i="8"/>
  <c r="H8" i="8"/>
  <c r="G11" i="7" l="1"/>
  <c r="I11" i="7" s="1"/>
  <c r="B24" i="9"/>
  <c r="L10" i="8"/>
  <c r="L9" i="8"/>
  <c r="M9" i="8" s="1"/>
  <c r="B23" i="9"/>
  <c r="K9" i="7"/>
  <c r="L9" i="7"/>
  <c r="L10" i="7" s="1"/>
  <c r="L11" i="7" s="1"/>
  <c r="I12" i="7"/>
  <c r="B27" i="9"/>
  <c r="K13" i="7"/>
  <c r="L13" i="8"/>
  <c r="C14" i="7"/>
  <c r="K16" i="6"/>
  <c r="C16" i="7" s="1"/>
  <c r="F16" i="6"/>
  <c r="L14" i="6"/>
  <c r="L15" i="6"/>
  <c r="D15" i="7" s="1"/>
  <c r="B15" i="7"/>
  <c r="J13" i="8"/>
  <c r="I8" i="8"/>
  <c r="E9" i="8"/>
  <c r="M10" i="8" l="1"/>
  <c r="L12" i="7"/>
  <c r="L13" i="7" s="1"/>
  <c r="J11" i="8"/>
  <c r="B25" i="9"/>
  <c r="L11" i="8"/>
  <c r="K11" i="7"/>
  <c r="L12" i="8"/>
  <c r="K12" i="7"/>
  <c r="B26" i="9"/>
  <c r="K17" i="6"/>
  <c r="C17" i="7" s="1"/>
  <c r="F17" i="6"/>
  <c r="B16" i="7"/>
  <c r="E16" i="7" s="1"/>
  <c r="L16" i="6"/>
  <c r="D16" i="7" s="1"/>
  <c r="D14" i="7"/>
  <c r="M14" i="6"/>
  <c r="M15" i="6"/>
  <c r="E15" i="7"/>
  <c r="G15" i="7" s="1"/>
  <c r="K8" i="8"/>
  <c r="F9" i="8"/>
  <c r="H9" i="8"/>
  <c r="E10" i="8" s="1"/>
  <c r="M11" i="8" l="1"/>
  <c r="M12" i="8" s="1"/>
  <c r="M13" i="8" s="1"/>
  <c r="K18" i="6"/>
  <c r="F18" i="6"/>
  <c r="L17" i="6"/>
  <c r="D17" i="7" s="1"/>
  <c r="B17" i="7"/>
  <c r="G14" i="7"/>
  <c r="J14" i="8" s="1"/>
  <c r="J15" i="8"/>
  <c r="I15" i="7"/>
  <c r="M16" i="6"/>
  <c r="G16" i="7"/>
  <c r="J16" i="8" s="1"/>
  <c r="I9" i="8"/>
  <c r="K9" i="8" s="1"/>
  <c r="F10" i="8"/>
  <c r="I10" i="8" s="1"/>
  <c r="K10" i="8" s="1"/>
  <c r="H10" i="8"/>
  <c r="E11" i="8" s="1"/>
  <c r="I16" i="7" l="1"/>
  <c r="K16" i="7" s="1"/>
  <c r="I14" i="7"/>
  <c r="E17" i="7"/>
  <c r="G17" i="7" s="1"/>
  <c r="J17" i="8" s="1"/>
  <c r="K19" i="6"/>
  <c r="C19" i="7" s="1"/>
  <c r="F19" i="6"/>
  <c r="M17" i="6"/>
  <c r="L15" i="8"/>
  <c r="B29" i="9"/>
  <c r="K15" i="7"/>
  <c r="B18" i="7"/>
  <c r="E18" i="7" s="1"/>
  <c r="L18" i="6"/>
  <c r="D18" i="7" s="1"/>
  <c r="C18" i="7"/>
  <c r="F11" i="8"/>
  <c r="I11" i="8" s="1"/>
  <c r="K11" i="8" s="1"/>
  <c r="H11" i="8"/>
  <c r="E12" i="8" s="1"/>
  <c r="L16" i="8" l="1"/>
  <c r="B30" i="9"/>
  <c r="I17" i="7"/>
  <c r="B31" i="9" s="1"/>
  <c r="M18" i="6"/>
  <c r="B19" i="7"/>
  <c r="E19" i="7" s="1"/>
  <c r="L19" i="6"/>
  <c r="D19" i="7" s="1"/>
  <c r="G18" i="7"/>
  <c r="J18" i="8" s="1"/>
  <c r="L14" i="8"/>
  <c r="K14" i="7"/>
  <c r="B28" i="9"/>
  <c r="L14" i="7"/>
  <c r="L15" i="7" s="1"/>
  <c r="L16" i="7" s="1"/>
  <c r="K20" i="6"/>
  <c r="C20" i="7" s="1"/>
  <c r="F20" i="6"/>
  <c r="F12" i="8"/>
  <c r="I12" i="8" s="1"/>
  <c r="K12" i="8" s="1"/>
  <c r="H12" i="8"/>
  <c r="E13" i="8" s="1"/>
  <c r="K17" i="7" l="1"/>
  <c r="L17" i="8"/>
  <c r="L17" i="7"/>
  <c r="M19" i="6"/>
  <c r="K21" i="6"/>
  <c r="C21" i="7" s="1"/>
  <c r="F21" i="6"/>
  <c r="G19" i="7"/>
  <c r="I19" i="7" s="1"/>
  <c r="M14" i="8"/>
  <c r="M15" i="8" s="1"/>
  <c r="M16" i="8" s="1"/>
  <c r="B20" i="7"/>
  <c r="E20" i="7" s="1"/>
  <c r="L20" i="6"/>
  <c r="D20" i="7" s="1"/>
  <c r="I18" i="7"/>
  <c r="G13" i="8"/>
  <c r="H13" i="8" s="1"/>
  <c r="E14" i="8" s="1"/>
  <c r="F13" i="8"/>
  <c r="L18" i="7" l="1"/>
  <c r="L19" i="7" s="1"/>
  <c r="M17" i="8"/>
  <c r="M20" i="6"/>
  <c r="B33" i="9"/>
  <c r="K19" i="7"/>
  <c r="L19" i="8"/>
  <c r="G20" i="7"/>
  <c r="J20" i="8" s="1"/>
  <c r="B21" i="7"/>
  <c r="E21" i="7" s="1"/>
  <c r="L21" i="6"/>
  <c r="D21" i="7" s="1"/>
  <c r="F22" i="6"/>
  <c r="K22" i="6"/>
  <c r="C22" i="7" s="1"/>
  <c r="J19" i="8"/>
  <c r="B32" i="9"/>
  <c r="K18" i="7"/>
  <c r="L18" i="8"/>
  <c r="G14" i="8"/>
  <c r="H14" i="8" s="1"/>
  <c r="E15" i="8" s="1"/>
  <c r="F14" i="8"/>
  <c r="I13" i="8"/>
  <c r="K13" i="8" s="1"/>
  <c r="I20" i="7" l="1"/>
  <c r="L20" i="7" s="1"/>
  <c r="M21" i="6"/>
  <c r="G21" i="7"/>
  <c r="J21" i="8" s="1"/>
  <c r="K23" i="6"/>
  <c r="C23" i="7" s="1"/>
  <c r="F23" i="6"/>
  <c r="M18" i="8"/>
  <c r="M19" i="8" s="1"/>
  <c r="B22" i="7"/>
  <c r="E22" i="7" s="1"/>
  <c r="L22" i="6"/>
  <c r="D22" i="7" s="1"/>
  <c r="G15" i="8"/>
  <c r="H15" i="8" s="1"/>
  <c r="E16" i="8" s="1"/>
  <c r="F15" i="8"/>
  <c r="I14" i="8"/>
  <c r="K14" i="8" s="1"/>
  <c r="K20" i="7" l="1"/>
  <c r="M22" i="6"/>
  <c r="L20" i="8"/>
  <c r="M20" i="8" s="1"/>
  <c r="B34" i="9"/>
  <c r="I21" i="7"/>
  <c r="L21" i="7" s="1"/>
  <c r="K24" i="6"/>
  <c r="C24" i="7" s="1"/>
  <c r="F24" i="6"/>
  <c r="B23" i="7"/>
  <c r="E23" i="7" s="1"/>
  <c r="L23" i="6"/>
  <c r="D23" i="7" s="1"/>
  <c r="G22" i="7"/>
  <c r="I22" i="7" s="1"/>
  <c r="G16" i="8"/>
  <c r="H16" i="8" s="1"/>
  <c r="E17" i="8" s="1"/>
  <c r="F16" i="8"/>
  <c r="I16" i="8" s="1"/>
  <c r="K16" i="8" s="1"/>
  <c r="I15" i="8"/>
  <c r="K15" i="8" s="1"/>
  <c r="L21" i="8" l="1"/>
  <c r="M21" i="8" s="1"/>
  <c r="K21" i="7"/>
  <c r="B35" i="9"/>
  <c r="J22" i="8"/>
  <c r="K22" i="7"/>
  <c r="L22" i="8"/>
  <c r="B36" i="9"/>
  <c r="L22" i="7"/>
  <c r="M23" i="6"/>
  <c r="B24" i="7"/>
  <c r="E24" i="7" s="1"/>
  <c r="L24" i="6"/>
  <c r="D24" i="7" s="1"/>
  <c r="G23" i="7"/>
  <c r="J23" i="8" s="1"/>
  <c r="F25" i="6"/>
  <c r="B26" i="6"/>
  <c r="G17" i="8"/>
  <c r="H17" i="8" s="1"/>
  <c r="E18" i="8" s="1"/>
  <c r="F17" i="8"/>
  <c r="M22" i="8" l="1"/>
  <c r="M24" i="6"/>
  <c r="G24" i="7"/>
  <c r="I24" i="7" s="1"/>
  <c r="B25" i="7"/>
  <c r="F26" i="6"/>
  <c r="I23" i="7"/>
  <c r="L23" i="7" s="1"/>
  <c r="K25" i="6"/>
  <c r="L25" i="6" s="1"/>
  <c r="M25" i="6" s="1"/>
  <c r="G26" i="6"/>
  <c r="G18" i="8"/>
  <c r="H18" i="8" s="1"/>
  <c r="E19" i="8" s="1"/>
  <c r="F18" i="8"/>
  <c r="I18" i="8" s="1"/>
  <c r="K18" i="8" s="1"/>
  <c r="I17" i="8"/>
  <c r="K17" i="8" s="1"/>
  <c r="L24" i="7" l="1"/>
  <c r="L23" i="8"/>
  <c r="M23" i="8" s="1"/>
  <c r="K23" i="7"/>
  <c r="B37" i="9"/>
  <c r="D25" i="7"/>
  <c r="L26" i="6"/>
  <c r="E25" i="7"/>
  <c r="E26" i="7" s="1"/>
  <c r="B7" i="9"/>
  <c r="E5" i="1" s="1"/>
  <c r="B26" i="7"/>
  <c r="C25" i="7"/>
  <c r="C26" i="7" s="1"/>
  <c r="K26" i="6"/>
  <c r="J24" i="8"/>
  <c r="L24" i="8"/>
  <c r="K24" i="7"/>
  <c r="B38" i="9"/>
  <c r="G19" i="8"/>
  <c r="H19" i="8" s="1"/>
  <c r="E20" i="8" s="1"/>
  <c r="F19" i="8"/>
  <c r="G25" i="7" l="1"/>
  <c r="H25" i="7"/>
  <c r="D26" i="7"/>
  <c r="B8" i="9"/>
  <c r="E6" i="1" s="1"/>
  <c r="M24" i="8"/>
  <c r="G20" i="8"/>
  <c r="H20" i="8" s="1"/>
  <c r="E21" i="8" s="1"/>
  <c r="F20" i="8"/>
  <c r="I20" i="8" s="1"/>
  <c r="K20" i="8" s="1"/>
  <c r="I19" i="8"/>
  <c r="K19" i="8" s="1"/>
  <c r="I25" i="7" l="1"/>
  <c r="L25" i="8" s="1"/>
  <c r="L26" i="8" s="1"/>
  <c r="B9" i="9"/>
  <c r="E7" i="1" s="1"/>
  <c r="H26" i="7"/>
  <c r="B11" i="12"/>
  <c r="D11" i="12" s="1"/>
  <c r="J25" i="8"/>
  <c r="J26" i="8" s="1"/>
  <c r="G26" i="7"/>
  <c r="G21" i="8"/>
  <c r="H21" i="8" s="1"/>
  <c r="E22" i="8" s="1"/>
  <c r="F21" i="8"/>
  <c r="I21" i="8" s="1"/>
  <c r="K21" i="8" s="1"/>
  <c r="B14" i="9" l="1"/>
  <c r="E9" i="1" s="1"/>
  <c r="I26" i="7"/>
  <c r="B39" i="9"/>
  <c r="B15" i="9" s="1"/>
  <c r="E10" i="1" s="1"/>
  <c r="L25" i="7"/>
  <c r="L26" i="7" s="1"/>
  <c r="K25" i="7"/>
  <c r="K26" i="7" s="1"/>
  <c r="M25" i="8"/>
  <c r="M26" i="8" s="1"/>
  <c r="B10" i="9"/>
  <c r="E8" i="1" s="1"/>
  <c r="E10" i="9"/>
  <c r="G22" i="8"/>
  <c r="H22" i="8" s="1"/>
  <c r="E23" i="8" s="1"/>
  <c r="F22" i="8"/>
  <c r="I22" i="8" s="1"/>
  <c r="K22" i="8" s="1"/>
  <c r="G23" i="8" l="1"/>
  <c r="H23" i="8" s="1"/>
  <c r="E24" i="8" s="1"/>
  <c r="F23" i="8"/>
  <c r="G24" i="8" l="1"/>
  <c r="F24" i="8"/>
  <c r="I24" i="8" s="1"/>
  <c r="K24" i="8" s="1"/>
  <c r="H24" i="8"/>
  <c r="E25" i="8" s="1"/>
  <c r="I23" i="8"/>
  <c r="K23" i="8" s="1"/>
  <c r="G25" i="8" l="1"/>
  <c r="F25" i="8"/>
  <c r="F26" i="8" l="1"/>
  <c r="I25" i="8"/>
  <c r="G26" i="8"/>
  <c r="H25" i="8"/>
  <c r="I26" i="8" l="1"/>
  <c r="K25" i="8"/>
  <c r="H26" i="8"/>
  <c r="B11" i="9"/>
  <c r="B12" i="9" l="1"/>
  <c r="E11" i="1" s="1"/>
  <c r="K26" i="8"/>
</calcChain>
</file>

<file path=xl/sharedStrings.xml><?xml version="1.0" encoding="utf-8"?>
<sst xmlns="http://schemas.openxmlformats.org/spreadsheetml/2006/main" count="489" uniqueCount="291">
  <si>
    <t>WCADP — 20-YEAR PROJECT FINANCE INVESTMENT CASE</t>
  </si>
  <si>
    <t>$25B core transport infrastructure + $125M Year 0 development | Airport $13B | Rail $9B | Tram $2B | Harbor $1B</t>
  </si>
  <si>
    <t>KEY PROGRAMME</t>
  </si>
  <si>
    <t>INVESTMENT CASE OUTPUTS</t>
  </si>
  <si>
    <t>STATUS</t>
  </si>
  <si>
    <t>Core CAPEX</t>
  </si>
  <si>
    <t>20-year revenue</t>
  </si>
  <si>
    <t>CAPEX basis</t>
  </si>
  <si>
    <t>Source-derived</t>
  </si>
  <si>
    <t>Year 0</t>
  </si>
  <si>
    <t>20-year EBITDA</t>
  </si>
  <si>
    <t>Revenue categories</t>
  </si>
  <si>
    <t>Source-derived categories + illustrative volumes/yields</t>
  </si>
  <si>
    <t>Total incl Year 0</t>
  </si>
  <si>
    <t>Terminal value</t>
  </si>
  <si>
    <t>Profitability</t>
  </si>
  <si>
    <t>Illustrative investment case</t>
  </si>
  <si>
    <t>Airport</t>
  </si>
  <si>
    <t>NPV incl terminal</t>
  </si>
  <si>
    <t>Bankability</t>
  </si>
  <si>
    <t>NOT BANKABLE UNTIL VALIDATED</t>
  </si>
  <si>
    <t>Rail</t>
  </si>
  <si>
    <t>Project IRR incl terminal</t>
  </si>
  <si>
    <t>Tram</t>
  </si>
  <si>
    <t>Project IRR excl terminal</t>
  </si>
  <si>
    <t>Harbor</t>
  </si>
  <si>
    <t>Minimum DSCR</t>
  </si>
  <si>
    <t>IMPORTANT MODELLING NOTE</t>
  </si>
  <si>
    <t>This version incorporates the full direct infrastructure revenue categories identified in the WCADP documentation and an explicit residual asset/concession value at Year 20. The resulting positive return is an INVESTMENT-CASE SCENARIO, not a factual prediction. It depends on the illustrative traffic, tariff/yield, OPEX, CAPEX and terminal-value assumptions being independently validated. The separately financed Aerotropolis/realty spin-off remains excluded.</t>
  </si>
  <si>
    <t>WCADP — 20-YEAR CORE INFRASTRUCTURE CAPEX</t>
  </si>
  <si>
    <t>USD billions. Year 0 = pre-development &amp; bankability.</t>
  </si>
  <si>
    <t>Year</t>
  </si>
  <si>
    <t>Pre-Development</t>
  </si>
  <si>
    <t>Inter-City Rail</t>
  </si>
  <si>
    <t>Tram Network</t>
  </si>
  <si>
    <t>Annual CAPEX</t>
  </si>
  <si>
    <t>Cumulative CAPEX</t>
  </si>
  <si>
    <t>Phase</t>
  </si>
  <si>
    <t>Year 0 — Pre-Development</t>
  </si>
  <si>
    <t>Phase 1 — Years 1–5</t>
  </si>
  <si>
    <t>Phase 2 — Years 6–10</t>
  </si>
  <si>
    <t>Phase 3 — Years 11–15</t>
  </si>
  <si>
    <t>Phase 4 — Years 16–20</t>
  </si>
  <si>
    <t>TOTAL</t>
  </si>
  <si>
    <t>WCADP — INVESTMENT CASE INPUTS</t>
  </si>
  <si>
    <t>Source-derived CAPEX is fixed; operating assumptions below are illustrative modelling assumptions and must be independently validated.</t>
  </si>
  <si>
    <t>Input</t>
  </si>
  <si>
    <t>Value</t>
  </si>
  <si>
    <t>Units</t>
  </si>
  <si>
    <t>Basis</t>
  </si>
  <si>
    <t>Comment</t>
  </si>
  <si>
    <t>Year 0 pre-development</t>
  </si>
  <si>
    <t>USD bn</t>
  </si>
  <si>
    <t>Source</t>
  </si>
  <si>
    <t>Upper end of documented USD100–125m range.</t>
  </si>
  <si>
    <t>Airport CAPEX</t>
  </si>
  <si>
    <t>Documented.</t>
  </si>
  <si>
    <t>Inter-City Rail CAPEX</t>
  </si>
  <si>
    <t>Tram CAPEX</t>
  </si>
  <si>
    <t>Harbor re-purposing CAPEX</t>
  </si>
  <si>
    <t>Calculated</t>
  </si>
  <si>
    <t>Airport + rail + tram + harbor.</t>
  </si>
  <si>
    <t>Total incl. Year 0</t>
  </si>
  <si>
    <t>Core CAPEX + Year 0.</t>
  </si>
  <si>
    <t>Airport development period</t>
  </si>
  <si>
    <t>years</t>
  </si>
  <si>
    <t>User / programme</t>
  </si>
  <si>
    <t>4 x 5 years.</t>
  </si>
  <si>
    <t>Rail construction period</t>
  </si>
  <si>
    <t>2 + 3 + 2 years.</t>
  </si>
  <si>
    <t>Tram implementation period</t>
  </si>
  <si>
    <t>User</t>
  </si>
  <si>
    <t>1 x 5 years.</t>
  </si>
  <si>
    <t>Harbor implementation period</t>
  </si>
  <si>
    <t>Airport passengers Y1</t>
  </si>
  <si>
    <t>m pax</t>
  </si>
  <si>
    <t>Illustrative</t>
  </si>
  <si>
    <t>Investment-case assumption.</t>
  </si>
  <si>
    <t>Airport pax growth</t>
  </si>
  <si>
    <t>%</t>
  </si>
  <si>
    <t>Demand ramp assumption.</t>
  </si>
  <si>
    <t>Airport aero yield</t>
  </si>
  <si>
    <t>USD/pax</t>
  </si>
  <si>
    <t>Passenger charges + landing/aviation-related yield.</t>
  </si>
  <si>
    <t>Airport cargo Y1</t>
  </si>
  <si>
    <t>m tonnes</t>
  </si>
  <si>
    <t>Cargo/logistics ramp.</t>
  </si>
  <si>
    <t>Airport cargo growth</t>
  </si>
  <si>
    <t>Airport cargo yield</t>
  </si>
  <si>
    <t>USD/tonne</t>
  </si>
  <si>
    <t>Cargo handling/logistics revenue.</t>
  </si>
  <si>
    <t>Airport non-aero revenue % aero/cargo</t>
  </si>
  <si>
    <t>Retail, parking, fuel services, hospitality/concessions.</t>
  </si>
  <si>
    <t>Rail passengers Y1</t>
  </si>
  <si>
    <t>m journeys</t>
  </si>
  <si>
    <t>Includes airport/regional passenger markets.</t>
  </si>
  <si>
    <t>Rail pax growth</t>
  </si>
  <si>
    <t>Demand ramp.</t>
  </si>
  <si>
    <t>Rail average fare</t>
  </si>
  <si>
    <t>USD/journey</t>
  </si>
  <si>
    <t>Passenger fare.</t>
  </si>
  <si>
    <t>Rail freight Y1</t>
  </si>
  <si>
    <t>Freight ramp.</t>
  </si>
  <si>
    <t>Rail freight growth</t>
  </si>
  <si>
    <t>Freight growth.</t>
  </si>
  <si>
    <t>Rail freight yield</t>
  </si>
  <si>
    <t>Freight revenue.</t>
  </si>
  <si>
    <t>Rail commercial revenue % core rail revenue</t>
  </si>
  <si>
    <t>Source category + illustrative</t>
  </si>
  <si>
    <t>Station retail, advertising, concessions; property revenue excluded.</t>
  </si>
  <si>
    <t>Tram passengers Y1</t>
  </si>
  <si>
    <t>Integrated seven-town network.</t>
  </si>
  <si>
    <t>Tram pax growth</t>
  </si>
  <si>
    <t>Demand growth.</t>
  </si>
  <si>
    <t>Tram average fare</t>
  </si>
  <si>
    <t>Fare.</t>
  </si>
  <si>
    <t>Tram ancillary % fare revenue</t>
  </si>
  <si>
    <t>Advertising/concessions.</t>
  </si>
  <si>
    <t>Harbor passengers Y1</t>
  </si>
  <si>
    <t>m passengers</t>
  </si>
  <si>
    <t>Cruise/passenger activity.</t>
  </si>
  <si>
    <t>Harbor pax growth</t>
  </si>
  <si>
    <t>Growth.</t>
  </si>
  <si>
    <t>Harbor revenue/passenger</t>
  </si>
  <si>
    <t>USD/passenger</t>
  </si>
  <si>
    <t>Port/cruise/passenger charges.</t>
  </si>
  <si>
    <t>Harbor ancillary % passenger revenue</t>
  </si>
  <si>
    <t>Marine/passenger services.</t>
  </si>
  <si>
    <t>Airport OPEX % revenue</t>
  </si>
  <si>
    <t>Target mature-asset operating margin assumption.</t>
  </si>
  <si>
    <t>Rail OPEX % revenue</t>
  </si>
  <si>
    <t>Tram OPEX % revenue</t>
  </si>
  <si>
    <t>Public transit operating assumption.</t>
  </si>
  <si>
    <t>Harbor OPEX % revenue</t>
  </si>
  <si>
    <t>Port operating assumption.</t>
  </si>
  <si>
    <t>Maintenance CAPEX % revenue</t>
  </si>
  <si>
    <t>Recurring maintenance.</t>
  </si>
  <si>
    <t>Tax rate</t>
  </si>
  <si>
    <t>Requires SA tax/legal validation.</t>
  </si>
  <si>
    <t>Inflation</t>
  </si>
  <si>
    <t>Nominal model placeholder.</t>
  </si>
  <si>
    <t>Debt share of core CAPEX</t>
  </si>
  <si>
    <t>Indicative infrastructure financing.</t>
  </si>
  <si>
    <t>Debt interest rate</t>
  </si>
  <si>
    <t>Requires lender term sheets.</t>
  </si>
  <si>
    <t>Debt tenor</t>
  </si>
  <si>
    <t>Long-dated infrastructure debt.</t>
  </si>
  <si>
    <t>Grace period</t>
  </si>
  <si>
    <t>Construction/initial ramp.</t>
  </si>
  <si>
    <t>Discount rate</t>
  </si>
  <si>
    <t>Indicative project discount rate.</t>
  </si>
  <si>
    <t>Terminal EBITDA multiple</t>
  </si>
  <si>
    <t>x</t>
  </si>
  <si>
    <t>Residual concession/asset value at Year 20; requires independent valuation.</t>
  </si>
  <si>
    <t>Terminal value haircut</t>
  </si>
  <si>
    <t>Conservative haircut to terminal value.</t>
  </si>
  <si>
    <t>Terminal value included?</t>
  </si>
  <si>
    <t>1/0</t>
  </si>
  <si>
    <t>Model control</t>
  </si>
  <si>
    <t>1 = include residual value in Year 20; 0 = exclude.</t>
  </si>
  <si>
    <t>Availability / viability support</t>
  </si>
  <si>
    <t>USD bn/year</t>
  </si>
  <si>
    <t>Not assumed</t>
  </si>
  <si>
    <t>No government availability payment included.</t>
  </si>
  <si>
    <t>WCADP — SCENARIO FRAMEWORK</t>
  </si>
  <si>
    <t>The model does not force profitability; it tests whether the stated investment case can support it.</t>
  </si>
  <si>
    <t>Scenario</t>
  </si>
  <si>
    <t>Demand</t>
  </si>
  <si>
    <t>Yield</t>
  </si>
  <si>
    <t>OPEX</t>
  </si>
  <si>
    <t>CAPEX</t>
  </si>
  <si>
    <t>Terminal Multiple</t>
  </si>
  <si>
    <t>Availability Payment</t>
  </si>
  <si>
    <t>Interpretation</t>
  </si>
  <si>
    <t>Downside</t>
  </si>
  <si>
    <t>Stress case</t>
  </si>
  <si>
    <t>Base / Investment Case</t>
  </si>
  <si>
    <t>Central investment case</t>
  </si>
  <si>
    <t>Upside</t>
  </si>
  <si>
    <t>Upside case</t>
  </si>
  <si>
    <t>Selected Scenario</t>
  </si>
  <si>
    <t>WCADP — CORE INFRASTRUCTURE CAPEX</t>
  </si>
  <si>
    <t>USD billions. Equal annual spend within each specified delivery phase is a preliminary assumption.</t>
  </si>
  <si>
    <t>Cumulative</t>
  </si>
  <si>
    <t>Programme Phase</t>
  </si>
  <si>
    <t>WCADP — OPERATING REVENUE &amp; OPEX</t>
  </si>
  <si>
    <t>Investment case using the revenue categories identified in the WCADP documentation; all traffic/yield assumptions are illustrative.</t>
  </si>
  <si>
    <t>Airport Revenue</t>
  </si>
  <si>
    <t>Rail Revenue</t>
  </si>
  <si>
    <t>Tram Revenue</t>
  </si>
  <si>
    <t>Harbor Revenue</t>
  </si>
  <si>
    <t>Total Revenue</t>
  </si>
  <si>
    <t>Airport OPEX</t>
  </si>
  <si>
    <t>Rail OPEX</t>
  </si>
  <si>
    <t>Tram OPEX</t>
  </si>
  <si>
    <t>Harbor OPEX</t>
  </si>
  <si>
    <t>Total OPEX</t>
  </si>
  <si>
    <t>EBITDA</t>
  </si>
  <si>
    <t>EBITDA Margin</t>
  </si>
  <si>
    <t>WCADP — PROJECT CASH FLOW &amp; TERMINAL VALUE</t>
  </si>
  <si>
    <t>USD billions. Terminal value represents residual value of long-life infrastructure after Year 20 and is separately identified.</t>
  </si>
  <si>
    <t>Revenue</t>
  </si>
  <si>
    <t>Maintenance CAPEX</t>
  </si>
  <si>
    <t>Development CAPEX</t>
  </si>
  <si>
    <t>Tax</t>
  </si>
  <si>
    <t>Terminal Value</t>
  </si>
  <si>
    <t>Unlevered FCF</t>
  </si>
  <si>
    <t>Discount Factor</t>
  </si>
  <si>
    <t>PV FCF</t>
  </si>
  <si>
    <t>Cumulative FCF</t>
  </si>
  <si>
    <t>Terminal Value Note</t>
  </si>
  <si>
    <t>Residual infrastructure/concession value; illustrative 16x base EBITDA less 15% haircut</t>
  </si>
  <si>
    <t>—</t>
  </si>
  <si>
    <t>WCADP — INDICATIVE PROJECT FINANCING</t>
  </si>
  <si>
    <t>Illustrative 65% debt / 35% equity on core CAPEX; no availability payment assumed.</t>
  </si>
  <si>
    <t>Debt Draw</t>
  </si>
  <si>
    <t>Equity Draw</t>
  </si>
  <si>
    <t>Opening Debt</t>
  </si>
  <si>
    <t>Interest</t>
  </si>
  <si>
    <t>Principal</t>
  </si>
  <si>
    <t>Closing Debt</t>
  </si>
  <si>
    <t>Debt Service</t>
  </si>
  <si>
    <t>CFADS</t>
  </si>
  <si>
    <t>DSCR</t>
  </si>
  <si>
    <t>Equity Cash Flow</t>
  </si>
  <si>
    <t>Cumulative Equity</t>
  </si>
  <si>
    <t>TOTAL / END</t>
  </si>
  <si>
    <t>WCADP — INVESTMENT RETURNS</t>
  </si>
  <si>
    <t>Returns are shown both including and excluding terminal value so the source of profitability is transparent.</t>
  </si>
  <si>
    <t>Metric</t>
  </si>
  <si>
    <t>Including Terminal Value</t>
  </si>
  <si>
    <t>Excluding Terminal Value</t>
  </si>
  <si>
    <t>Source + Year 0</t>
  </si>
  <si>
    <t>0</t>
  </si>
  <si>
    <t>Illustrative residual value</t>
  </si>
  <si>
    <t>NPV @ 8.5%</t>
  </si>
  <si>
    <t>Peak debt</t>
  </si>
  <si>
    <t>Project IRR — incl. terminal value</t>
  </si>
  <si>
    <t>A positive IRR depends on the assumed operating ramp and residual value; neither is yet independently validated.</t>
  </si>
  <si>
    <t>Project IRR — excluding terminal value</t>
  </si>
  <si>
    <t>Important</t>
  </si>
  <si>
    <t>Unlevered FCF ex terminal</t>
  </si>
  <si>
    <t>WCADP — SOURCES &amp; USES</t>
  </si>
  <si>
    <t>Illustrative financing structure; final capital stack must be determined through PPP and lender negotiations.</t>
  </si>
  <si>
    <t>Use</t>
  </si>
  <si>
    <t>Debt Source</t>
  </si>
  <si>
    <t>Equity Source</t>
  </si>
  <si>
    <t>Infrastructure debt</t>
  </si>
  <si>
    <t>Institutional/sponsor equity</t>
  </si>
  <si>
    <t>Harbor CAPEX</t>
  </si>
  <si>
    <t>Year 0 development</t>
  </si>
  <si>
    <t>Development equity</t>
  </si>
  <si>
    <t>Core debt</t>
  </si>
  <si>
    <t>Core equity</t>
  </si>
  <si>
    <t>WCADP — PROFITABILITY SENSITIVITY</t>
  </si>
  <si>
    <t>Sensitivity is intended to show how dependent returns are on demand, CAPEX and residual value assumptions.</t>
  </si>
  <si>
    <t>Case</t>
  </si>
  <si>
    <t>Indicative Interpretation</t>
  </si>
  <si>
    <t>Required Validation</t>
  </si>
  <si>
    <t>Likely stressed</t>
  </si>
  <si>
    <t>Traffic + cost studies</t>
  </si>
  <si>
    <t>Target case</t>
  </si>
  <si>
    <t>Independent bankable model</t>
  </si>
  <si>
    <t>Strong case</t>
  </si>
  <si>
    <t>Market validation</t>
  </si>
  <si>
    <t>Critical sensitivities</t>
  </si>
  <si>
    <t>Passenger demand -20% / base / +20%</t>
  </si>
  <si>
    <t>Cargo volume -20% / base / +20%</t>
  </si>
  <si>
    <t>CAPEX overrun +0% / +10% / +20%</t>
  </si>
  <si>
    <t>Yield -10% / base / +10%</t>
  </si>
  <si>
    <t>Interest rate +0% / +200bp / +400bp</t>
  </si>
  <si>
    <t>Construction delay 0 / 1 / 2 years</t>
  </si>
  <si>
    <t>Terminal multiple 10x / 12x / 14x / 16x</t>
  </si>
  <si>
    <t>Terminal value excluded entirely</t>
  </si>
  <si>
    <t>WCADP — MODEL INTEGRITY CHECKS</t>
  </si>
  <si>
    <t>Core CAPEX reconciliation and transparency checks.</t>
  </si>
  <si>
    <t>Check</t>
  </si>
  <si>
    <t>Model Value</t>
  </si>
  <si>
    <t>Target</t>
  </si>
  <si>
    <t>Status</t>
  </si>
  <si>
    <t>Notes</t>
  </si>
  <si>
    <t>Rail CAPEX</t>
  </si>
  <si>
    <t>Terminal value separately identified</t>
  </si>
  <si>
    <t>Value is intentionally separated from operating cash flow.</t>
  </si>
  <si>
    <t>Terminal value (residual asset/concession value after Year 20)</t>
  </si>
  <si>
    <t>Traffic, tariffs, OPEX, CAPEX and terminal valuation are not yet independently validated.</t>
  </si>
  <si>
    <t>AIRPORT</t>
  </si>
  <si>
    <t>INTER CITY EXPRESS</t>
  </si>
  <si>
    <t>TRAM NETWORK</t>
  </si>
  <si>
    <t>HARBOR</t>
  </si>
  <si>
    <t>All Copyright reserved by MBH International Sp. Z o.o. Poland &amp; MBH Architects (Pty) Ltd South Africa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</si>
</sst>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%"/>
    <numFmt numFmtId="166" formatCode="0.00\x"/>
    <numFmt numFmtId="167" formatCode="_-[$$-409]* #,##0.00_ ;_-[$$-409]* \-#,##0.00\ ;_-[$$-409]* &quot;-&quot;??_ ;_-@_ "/>
  </numFmts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2"/>
      <name val="Calibri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F4CCCC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0" fillId="0" borderId="1" xfId="0" applyBorder="1"/>
    <xf numFmtId="164" fontId="0" fillId="0" borderId="1" xfId="0" applyNumberFormat="1" applyBorder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5" fontId="0" fillId="0" borderId="1" xfId="0" applyNumberForma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3" borderId="0" xfId="0" applyFill="1"/>
    <xf numFmtId="164" fontId="0" fillId="0" borderId="0" xfId="0" applyNumberFormat="1"/>
    <xf numFmtId="164" fontId="4" fillId="0" borderId="1" xfId="0" applyNumberFormat="1" applyFont="1" applyBorder="1"/>
    <xf numFmtId="166" fontId="4" fillId="0" borderId="1" xfId="0" applyNumberFormat="1" applyFont="1" applyBorder="1"/>
    <xf numFmtId="16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166" fontId="0" fillId="0" borderId="1" xfId="0" applyNumberFormat="1" applyBorder="1"/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165" fontId="0" fillId="0" borderId="1" xfId="0" applyNumberFormat="1" applyBorder="1"/>
    <xf numFmtId="0" fontId="3" fillId="2" borderId="1" xfId="0" applyFont="1" applyFill="1" applyBorder="1" applyAlignment="1">
      <alignment horizontal="center" wrapText="1"/>
    </xf>
    <xf numFmtId="165" fontId="0" fillId="0" borderId="0" xfId="0" applyNumberFormat="1"/>
    <xf numFmtId="164" fontId="0" fillId="6" borderId="0" xfId="0" applyNumberFormat="1" applyFill="1"/>
    <xf numFmtId="164" fontId="0" fillId="6" borderId="1" xfId="0" applyNumberFormat="1" applyFill="1" applyBorder="1"/>
    <xf numFmtId="164" fontId="4" fillId="6" borderId="1" xfId="0" applyNumberFormat="1" applyFont="1" applyFill="1" applyBorder="1"/>
    <xf numFmtId="167" fontId="0" fillId="0" borderId="0" xfId="0" applyNumberFormat="1"/>
    <xf numFmtId="9" fontId="0" fillId="0" borderId="0" xfId="1" applyFont="1"/>
    <xf numFmtId="165" fontId="0" fillId="0" borderId="0" xfId="1" applyNumberFormat="1" applyFont="1"/>
    <xf numFmtId="164" fontId="8" fillId="0" borderId="1" xfId="0" applyNumberFormat="1" applyFont="1" applyBorder="1"/>
    <xf numFmtId="0" fontId="7" fillId="0" borderId="0" xfId="0" applyFont="1"/>
    <xf numFmtId="0" fontId="2" fillId="0" borderId="0" xfId="0" applyFont="1"/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</cellXfs>
  <cellStyles count="2">
    <cellStyle name="Normal" xfId="0" builtinId="0"/>
    <cellStyle name="Per 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ZA"/>
              <a:t>Annual Core CAPEX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CAPEX1!$G$4</c:f>
              <c:strCache>
                <c:ptCount val="1"/>
                <c:pt idx="0">
                  <c:v>Annual CAPEX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numRef>
              <c:f>CAPEX1!$A$5:$A$25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CAPEX1!$G$5:$G$25</c:f>
              <c:numCache>
                <c:formatCode>0.000</c:formatCode>
                <c:ptCount val="21"/>
                <c:pt idx="0">
                  <c:v>0.125</c:v>
                </c:pt>
                <c:pt idx="1">
                  <c:v>2.4785714285714286</c:v>
                </c:pt>
                <c:pt idx="2">
                  <c:v>2.4785714285714286</c:v>
                </c:pt>
                <c:pt idx="3">
                  <c:v>2.4785714285714286</c:v>
                </c:pt>
                <c:pt idx="4">
                  <c:v>2.4785714285714286</c:v>
                </c:pt>
                <c:pt idx="5">
                  <c:v>2.4785714285714286</c:v>
                </c:pt>
                <c:pt idx="6">
                  <c:v>2.0785714285714287</c:v>
                </c:pt>
                <c:pt idx="7">
                  <c:v>2.0785714285714287</c:v>
                </c:pt>
                <c:pt idx="8">
                  <c:v>0.65</c:v>
                </c:pt>
                <c:pt idx="9">
                  <c:v>0.65</c:v>
                </c:pt>
                <c:pt idx="10">
                  <c:v>0.65</c:v>
                </c:pt>
                <c:pt idx="11">
                  <c:v>0.65</c:v>
                </c:pt>
                <c:pt idx="12">
                  <c:v>0.65</c:v>
                </c:pt>
                <c:pt idx="13">
                  <c:v>0.65</c:v>
                </c:pt>
                <c:pt idx="14">
                  <c:v>0.65</c:v>
                </c:pt>
                <c:pt idx="15">
                  <c:v>0.65</c:v>
                </c:pt>
                <c:pt idx="16">
                  <c:v>0.65</c:v>
                </c:pt>
                <c:pt idx="17">
                  <c:v>0.65</c:v>
                </c:pt>
                <c:pt idx="18">
                  <c:v>0.65</c:v>
                </c:pt>
                <c:pt idx="19">
                  <c:v>0.65</c:v>
                </c:pt>
                <c:pt idx="20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3-446A-994D-D28329505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Year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USD bn</a:t>
                </a:r>
              </a:p>
            </c:rich>
          </c:tx>
          <c:overlay val="1"/>
        </c:title>
        <c:numFmt formatCode="0.0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ZA"/>
              <a:t>Revenue and EBITDA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Operations!$F$4</c:f>
              <c:strCache>
                <c:ptCount val="1"/>
                <c:pt idx="0">
                  <c:v>Total Revenue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Operations!$A$5:$A$25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Operations!$F$5:$F$25</c:f>
              <c:numCache>
                <c:formatCode>0.000</c:formatCode>
                <c:ptCount val="21"/>
                <c:pt idx="0">
                  <c:v>0</c:v>
                </c:pt>
                <c:pt idx="1">
                  <c:v>1.64503</c:v>
                </c:pt>
                <c:pt idx="2">
                  <c:v>1.7629853000000002</c:v>
                </c:pt>
                <c:pt idx="3">
                  <c:v>1.8831505930000001</c:v>
                </c:pt>
                <c:pt idx="4">
                  <c:v>2.0056551123299999</c:v>
                </c:pt>
                <c:pt idx="5">
                  <c:v>2.1306356770073003</c:v>
                </c:pt>
                <c:pt idx="6">
                  <c:v>2.2582371384621136</c:v>
                </c:pt>
                <c:pt idx="7">
                  <c:v>2.4903325268058194</c:v>
                </c:pt>
                <c:pt idx="8">
                  <c:v>2.6693824330972644</c:v>
                </c:pt>
                <c:pt idx="9">
                  <c:v>2.8615998633042481</c:v>
                </c:pt>
                <c:pt idx="10">
                  <c:v>3.0679715378829142</c:v>
                </c:pt>
                <c:pt idx="11">
                  <c:v>3.2895592493713863</c:v>
                </c:pt>
                <c:pt idx="12">
                  <c:v>3.5275056429896905</c:v>
                </c:pt>
                <c:pt idx="13">
                  <c:v>3.7830404465160226</c:v>
                </c:pt>
                <c:pt idx="14">
                  <c:v>4.0574871846080631</c:v>
                </c:pt>
                <c:pt idx="15">
                  <c:v>4.352270415506001</c:v>
                </c:pt>
                <c:pt idx="16">
                  <c:v>4.6689235310406376</c:v>
                </c:pt>
                <c:pt idx="17">
                  <c:v>5.0090971640926512</c:v>
                </c:pt>
                <c:pt idx="18">
                  <c:v>5.3745682511267621</c:v>
                </c:pt>
                <c:pt idx="19">
                  <c:v>5.7672498011769973</c:v>
                </c:pt>
                <c:pt idx="20">
                  <c:v>6.1892014267088067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D8-4678-9063-1899C8191966}"/>
            </c:ext>
          </c:extLst>
        </c:ser>
        <c:ser>
          <c:idx val="1"/>
          <c:order val="1"/>
          <c:tx>
            <c:strRef>
              <c:f>Operations!$L$4</c:f>
              <c:strCache>
                <c:ptCount val="1"/>
                <c:pt idx="0">
                  <c:v>EBITDA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Operations!$A$5:$A$25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Operations!$L$5:$L$25</c:f>
              <c:numCache>
                <c:formatCode>0.000</c:formatCode>
                <c:ptCount val="21"/>
                <c:pt idx="0">
                  <c:v>0</c:v>
                </c:pt>
                <c:pt idx="1">
                  <c:v>0.86305000000000009</c:v>
                </c:pt>
                <c:pt idx="2">
                  <c:v>0.92557940000000016</c:v>
                </c:pt>
                <c:pt idx="3">
                  <c:v>0.98919138400000006</c:v>
                </c:pt>
                <c:pt idx="4">
                  <c:v>1.05394944804</c:v>
                </c:pt>
                <c:pt idx="5">
                  <c:v>1.1199208249724002</c:v>
                </c:pt>
                <c:pt idx="6">
                  <c:v>1.1871767050232445</c:v>
                </c:pt>
                <c:pt idx="7">
                  <c:v>1.3117382896427008</c:v>
                </c:pt>
                <c:pt idx="8">
                  <c:v>1.4069494236101527</c:v>
                </c:pt>
                <c:pt idx="9">
                  <c:v>1.5092172349372397</c:v>
                </c:pt>
                <c:pt idx="10">
                  <c:v>1.6190738181309889</c:v>
                </c:pt>
                <c:pt idx="11">
                  <c:v>1.7370919475340751</c:v>
                </c:pt>
                <c:pt idx="12">
                  <c:v>1.8638882213809693</c:v>
                </c:pt>
                <c:pt idx="13">
                  <c:v>2.0001264509053911</c:v>
                </c:pt>
                <c:pt idx="14">
                  <c:v>2.1465213137220855</c:v>
                </c:pt>
                <c:pt idx="15">
                  <c:v>2.3038422922213262</c:v>
                </c:pt>
                <c:pt idx="16">
                  <c:v>2.4729179193497797</c:v>
                </c:pt>
                <c:pt idx="17">
                  <c:v>2.6546403559159963</c:v>
                </c:pt>
                <c:pt idx="18">
                  <c:v>2.849970325463171</c:v>
                </c:pt>
                <c:pt idx="19">
                  <c:v>3.0599424348068438</c:v>
                </c:pt>
                <c:pt idx="20">
                  <c:v>3.2856709105531174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D8-4678-9063-1899C8191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Year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USD bn</a:t>
                </a:r>
              </a:p>
            </c:rich>
          </c:tx>
          <c:overlay val="1"/>
        </c:title>
        <c:numFmt formatCode="0.0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190499</xdr:rowOff>
    </xdr:from>
    <xdr:ext cx="5400000" cy="53816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238125</xdr:colOff>
      <xdr:row>13</xdr:row>
      <xdr:rowOff>38100</xdr:rowOff>
    </xdr:from>
    <xdr:ext cx="5400000" cy="288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twoCellAnchor editAs="oneCell">
    <xdr:from>
      <xdr:col>1</xdr:col>
      <xdr:colOff>1047750</xdr:colOff>
      <xdr:row>21</xdr:row>
      <xdr:rowOff>133350</xdr:rowOff>
    </xdr:from>
    <xdr:to>
      <xdr:col>6</xdr:col>
      <xdr:colOff>694266</xdr:colOff>
      <xdr:row>30</xdr:row>
      <xdr:rowOff>66852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9EE2CF-2653-46EA-92B8-0DDF2E21D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0" y="4600575"/>
          <a:ext cx="6990291" cy="164800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1600201</xdr:colOff>
      <xdr:row>4</xdr:row>
      <xdr:rowOff>95250</xdr:rowOff>
    </xdr:from>
    <xdr:to>
      <xdr:col>4</xdr:col>
      <xdr:colOff>723901</xdr:colOff>
      <xdr:row>10</xdr:row>
      <xdr:rowOff>97493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D191C6-2A9F-4579-8711-B7A662B89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1" y="933450"/>
          <a:ext cx="4857750" cy="114524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74543</xdr:colOff>
      <xdr:row>4</xdr:row>
      <xdr:rowOff>173935</xdr:rowOff>
    </xdr:from>
    <xdr:to>
      <xdr:col>5</xdr:col>
      <xdr:colOff>1188554</xdr:colOff>
      <xdr:row>10</xdr:row>
      <xdr:rowOff>176178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9BDBB8-60BC-4479-8F42-817E90615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1456" y="1010478"/>
          <a:ext cx="4857750" cy="114524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1855305</xdr:colOff>
      <xdr:row>4</xdr:row>
      <xdr:rowOff>49696</xdr:rowOff>
    </xdr:from>
    <xdr:to>
      <xdr:col>4</xdr:col>
      <xdr:colOff>1039468</xdr:colOff>
      <xdr:row>10</xdr:row>
      <xdr:rowOff>51939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FD6891-AB92-4665-BB99-E29AE0BDF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5305" y="886239"/>
          <a:ext cx="4857750" cy="1145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687456</xdr:colOff>
      <xdr:row>11</xdr:row>
      <xdr:rowOff>99391</xdr:rowOff>
    </xdr:from>
    <xdr:to>
      <xdr:col>8</xdr:col>
      <xdr:colOff>66030</xdr:colOff>
      <xdr:row>20</xdr:row>
      <xdr:rowOff>32893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3A1BD3-2F03-48BC-9CD4-5F5F3AA52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3804" y="2269434"/>
          <a:ext cx="6990291" cy="16480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1638300</xdr:colOff>
      <xdr:row>47</xdr:row>
      <xdr:rowOff>85725</xdr:rowOff>
    </xdr:from>
    <xdr:to>
      <xdr:col>4</xdr:col>
      <xdr:colOff>1961091</xdr:colOff>
      <xdr:row>56</xdr:row>
      <xdr:rowOff>19227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93C76-0400-4B77-B80E-64CF204DA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9305925"/>
          <a:ext cx="6990291" cy="16480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165654</xdr:colOff>
      <xdr:row>2</xdr:row>
      <xdr:rowOff>124239</xdr:rowOff>
    </xdr:from>
    <xdr:to>
      <xdr:col>6</xdr:col>
      <xdr:colOff>579553</xdr:colOff>
      <xdr:row>8</xdr:row>
      <xdr:rowOff>23912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7020B5-0C2D-4A57-8239-C23C8BB5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132" y="579782"/>
          <a:ext cx="4422682" cy="10426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10</xdr:row>
      <xdr:rowOff>9525</xdr:rowOff>
    </xdr:from>
    <xdr:to>
      <xdr:col>8</xdr:col>
      <xdr:colOff>141816</xdr:colOff>
      <xdr:row>18</xdr:row>
      <xdr:rowOff>133527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D9B2D9-94AE-4A57-932F-A734499DD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990725"/>
          <a:ext cx="6990291" cy="16480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10</xdr:row>
      <xdr:rowOff>66675</xdr:rowOff>
    </xdr:from>
    <xdr:to>
      <xdr:col>9</xdr:col>
      <xdr:colOff>513291</xdr:colOff>
      <xdr:row>19</xdr:row>
      <xdr:rowOff>177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5C53C1-3A45-8F64-2551-A86C41055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2047875"/>
          <a:ext cx="6990291" cy="16480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9</xdr:row>
      <xdr:rowOff>142875</xdr:rowOff>
    </xdr:from>
    <xdr:to>
      <xdr:col>9</xdr:col>
      <xdr:colOff>370416</xdr:colOff>
      <xdr:row>18</xdr:row>
      <xdr:rowOff>76377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B1E610-6D99-4F36-9344-CAE5A04B0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2124075"/>
          <a:ext cx="6990291" cy="16480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628650</xdr:colOff>
      <xdr:row>10</xdr:row>
      <xdr:rowOff>38100</xdr:rowOff>
    </xdr:from>
    <xdr:to>
      <xdr:col>10</xdr:col>
      <xdr:colOff>151341</xdr:colOff>
      <xdr:row>18</xdr:row>
      <xdr:rowOff>162102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482F7D-B0C3-473E-83CC-AF0FC1BB8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2019300"/>
          <a:ext cx="6990291" cy="164800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2343150</xdr:colOff>
      <xdr:row>9</xdr:row>
      <xdr:rowOff>85725</xdr:rowOff>
    </xdr:from>
    <xdr:to>
      <xdr:col>5</xdr:col>
      <xdr:colOff>1018116</xdr:colOff>
      <xdr:row>16</xdr:row>
      <xdr:rowOff>19227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10A9ED-10A3-4222-B0DD-8547EFFF6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1876425"/>
          <a:ext cx="6990291" cy="1648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showGridLines="0" topLeftCell="A13" workbookViewId="0">
      <selection activeCell="A43" sqref="A43"/>
    </sheetView>
  </sheetViews>
  <sheetFormatPr defaultRowHeight="15" x14ac:dyDescent="0.25"/>
  <cols>
    <col min="1" max="1" width="28" customWidth="1"/>
    <col min="2" max="2" width="18" customWidth="1"/>
    <col min="3" max="3" width="28" customWidth="1"/>
    <col min="4" max="4" width="38.140625" customWidth="1"/>
    <col min="5" max="5" width="22" customWidth="1"/>
    <col min="6" max="6" width="4" customWidth="1"/>
    <col min="7" max="7" width="18" customWidth="1"/>
    <col min="8" max="8" width="42" customWidth="1"/>
    <col min="9" max="10" width="4" customWidth="1"/>
  </cols>
  <sheetData>
    <row r="1" spans="1:10" ht="21" x14ac:dyDescent="0.35">
      <c r="A1" s="33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4" spans="1:10" ht="15.75" x14ac:dyDescent="0.25">
      <c r="A4" s="1" t="s">
        <v>2</v>
      </c>
      <c r="D4" s="1" t="s">
        <v>3</v>
      </c>
      <c r="G4" s="1" t="s">
        <v>4</v>
      </c>
    </row>
    <row r="5" spans="1:10" x14ac:dyDescent="0.25">
      <c r="A5" s="2" t="s">
        <v>5</v>
      </c>
      <c r="B5" s="3">
        <f>CAPEX!G26</f>
        <v>25.124999999999982</v>
      </c>
      <c r="D5" s="2" t="s">
        <v>6</v>
      </c>
      <c r="E5" s="3">
        <f>'Returns &amp; Metrics'!B7</f>
        <v>68.793883295026689</v>
      </c>
      <c r="G5" s="2" t="s">
        <v>7</v>
      </c>
      <c r="H5" s="17" t="s">
        <v>8</v>
      </c>
    </row>
    <row r="6" spans="1:10" ht="30" x14ac:dyDescent="0.25">
      <c r="A6" s="2" t="s">
        <v>9</v>
      </c>
      <c r="B6" s="3">
        <f>CAPEX!B5</f>
        <v>0.125</v>
      </c>
      <c r="D6" s="2" t="s">
        <v>10</v>
      </c>
      <c r="E6" s="3">
        <f>'Returns &amp; Metrics'!B8</f>
        <v>36.360458700209485</v>
      </c>
      <c r="G6" s="2" t="s">
        <v>11</v>
      </c>
      <c r="H6" s="18" t="s">
        <v>12</v>
      </c>
    </row>
    <row r="7" spans="1:10" ht="30" x14ac:dyDescent="0.25">
      <c r="A7" s="2" t="s">
        <v>13</v>
      </c>
      <c r="B7" s="3">
        <f>CAPEX!H26</f>
        <v>0</v>
      </c>
      <c r="D7" s="9" t="s">
        <v>284</v>
      </c>
      <c r="E7" s="29">
        <f>'Returns &amp; Metrics'!B9</f>
        <v>44.685124383522393</v>
      </c>
      <c r="G7" s="2" t="s">
        <v>15</v>
      </c>
      <c r="H7" s="18" t="s">
        <v>16</v>
      </c>
    </row>
    <row r="8" spans="1:10" x14ac:dyDescent="0.25">
      <c r="A8" s="2" t="s">
        <v>17</v>
      </c>
      <c r="B8" s="3">
        <f>CAPEX!C26</f>
        <v>13.000000000000004</v>
      </c>
      <c r="D8" s="2" t="s">
        <v>18</v>
      </c>
      <c r="E8" s="3">
        <f>'Returns &amp; Metrics'!B10</f>
        <v>3.4853813502679705</v>
      </c>
      <c r="G8" s="2" t="s">
        <v>19</v>
      </c>
      <c r="H8" s="19" t="s">
        <v>20</v>
      </c>
    </row>
    <row r="9" spans="1:10" x14ac:dyDescent="0.25">
      <c r="A9" s="2" t="s">
        <v>21</v>
      </c>
      <c r="B9" s="3">
        <f>CAPEX!D26</f>
        <v>9.0000000000000036</v>
      </c>
      <c r="D9" s="2" t="s">
        <v>22</v>
      </c>
      <c r="E9" s="20">
        <f>'Returns &amp; Metrics'!B14</f>
        <v>0.10966293097010538</v>
      </c>
    </row>
    <row r="10" spans="1:10" x14ac:dyDescent="0.25">
      <c r="A10" s="2" t="s">
        <v>23</v>
      </c>
      <c r="B10" s="3">
        <f>CAPEX!E26</f>
        <v>2</v>
      </c>
      <c r="D10" s="2" t="s">
        <v>24</v>
      </c>
      <c r="E10" s="20">
        <f>'Returns &amp; Metrics'!B15</f>
        <v>1.1697556714396207E-3</v>
      </c>
    </row>
    <row r="11" spans="1:10" x14ac:dyDescent="0.25">
      <c r="A11" s="2" t="s">
        <v>25</v>
      </c>
      <c r="B11" s="3">
        <f>CAPEX!F26</f>
        <v>0.99999999999999956</v>
      </c>
      <c r="D11" s="2" t="s">
        <v>26</v>
      </c>
      <c r="E11" s="16">
        <f>'Returns &amp; Metrics'!B12</f>
        <v>0.94175778780289632</v>
      </c>
    </row>
    <row r="43" spans="1:8" x14ac:dyDescent="0.25">
      <c r="A43" s="30" t="s">
        <v>290</v>
      </c>
    </row>
    <row r="44" spans="1:8" x14ac:dyDescent="0.25">
      <c r="A44" s="4" t="s">
        <v>27</v>
      </c>
    </row>
    <row r="45" spans="1:8" x14ac:dyDescent="0.25">
      <c r="A45" s="34" t="s">
        <v>28</v>
      </c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  <row r="49" spans="1:8" x14ac:dyDescent="0.25">
      <c r="A49" s="32"/>
      <c r="B49" s="32"/>
      <c r="C49" s="32"/>
      <c r="D49" s="32"/>
      <c r="E49" s="32"/>
      <c r="F49" s="32"/>
      <c r="G49" s="32"/>
      <c r="H49" s="32"/>
    </row>
  </sheetData>
  <sheetProtection sheet="1" objects="1" scenarios="1" password="9DEB" selectLockedCells="1" selectUnlockedCells="1"/>
  <mergeCells count="3">
    <mergeCell ref="A1:J1"/>
    <mergeCell ref="A45:H49"/>
    <mergeCell ref="A2:J2"/>
  </mergeCells>
  <pageMargins left="0.75" right="0.75" top="1" bottom="1" header="0.5" footer="0.5"/>
  <pageSetup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4"/>
  <sheetViews>
    <sheetView showGridLines="0" workbookViewId="0">
      <selection activeCell="A14" sqref="A14"/>
    </sheetView>
  </sheetViews>
  <sheetFormatPr defaultRowHeight="15" x14ac:dyDescent="0.25"/>
  <cols>
    <col min="1" max="1" width="28" customWidth="1"/>
    <col min="2" max="2" width="15" customWidth="1"/>
    <col min="3" max="3" width="28" customWidth="1"/>
    <col min="4" max="4" width="15" customWidth="1"/>
    <col min="5" max="5" width="28" customWidth="1"/>
    <col min="6" max="6" width="15" customWidth="1"/>
  </cols>
  <sheetData>
    <row r="1" spans="1:6" ht="21" x14ac:dyDescent="0.35">
      <c r="A1" s="33" t="s">
        <v>242</v>
      </c>
      <c r="B1" s="32"/>
      <c r="C1" s="32"/>
      <c r="D1" s="32"/>
      <c r="E1" s="32"/>
      <c r="F1" s="32"/>
    </row>
    <row r="2" spans="1:6" x14ac:dyDescent="0.25">
      <c r="A2" s="31" t="s">
        <v>243</v>
      </c>
      <c r="B2" s="32"/>
      <c r="C2" s="32"/>
      <c r="D2" s="32"/>
      <c r="E2" s="32"/>
      <c r="F2" s="32"/>
    </row>
    <row r="4" spans="1:6" x14ac:dyDescent="0.25">
      <c r="A4" s="21" t="s">
        <v>244</v>
      </c>
      <c r="B4" s="21" t="s">
        <v>52</v>
      </c>
      <c r="C4" s="21" t="s">
        <v>245</v>
      </c>
      <c r="D4" s="21" t="s">
        <v>52</v>
      </c>
      <c r="E4" s="21" t="s">
        <v>246</v>
      </c>
      <c r="F4" s="21" t="s">
        <v>52</v>
      </c>
    </row>
    <row r="5" spans="1:6" x14ac:dyDescent="0.25">
      <c r="A5" s="2" t="s">
        <v>55</v>
      </c>
      <c r="B5" s="3">
        <v>13</v>
      </c>
      <c r="C5" s="2" t="s">
        <v>247</v>
      </c>
      <c r="D5" s="3">
        <v>16.25</v>
      </c>
      <c r="E5" s="2" t="s">
        <v>248</v>
      </c>
      <c r="F5" s="3">
        <v>8.75</v>
      </c>
    </row>
    <row r="6" spans="1:6" x14ac:dyDescent="0.25">
      <c r="A6" s="2" t="s">
        <v>57</v>
      </c>
      <c r="B6" s="3">
        <v>9</v>
      </c>
      <c r="C6" s="2"/>
      <c r="D6" s="2"/>
      <c r="E6" s="2"/>
      <c r="F6" s="2"/>
    </row>
    <row r="7" spans="1:6" x14ac:dyDescent="0.25">
      <c r="A7" s="2" t="s">
        <v>58</v>
      </c>
      <c r="B7" s="3">
        <v>2</v>
      </c>
      <c r="C7" s="2"/>
      <c r="D7" s="2"/>
      <c r="E7" s="2"/>
      <c r="F7" s="2"/>
    </row>
    <row r="8" spans="1:6" x14ac:dyDescent="0.25">
      <c r="A8" s="2" t="s">
        <v>249</v>
      </c>
      <c r="B8" s="3">
        <v>1</v>
      </c>
      <c r="C8" s="2"/>
      <c r="D8" s="2"/>
      <c r="E8" s="2"/>
      <c r="F8" s="2"/>
    </row>
    <row r="9" spans="1:6" x14ac:dyDescent="0.25">
      <c r="A9" s="2" t="s">
        <v>250</v>
      </c>
      <c r="B9" s="3">
        <v>0.125</v>
      </c>
      <c r="C9" s="2"/>
      <c r="D9" s="2"/>
      <c r="E9" s="2" t="s">
        <v>251</v>
      </c>
      <c r="F9" s="3">
        <v>0.125</v>
      </c>
    </row>
    <row r="11" spans="1:6" x14ac:dyDescent="0.25">
      <c r="A11" s="4" t="s">
        <v>5</v>
      </c>
      <c r="B11" s="4">
        <f>SUM(B5:B8)</f>
        <v>25</v>
      </c>
      <c r="C11" s="4" t="s">
        <v>252</v>
      </c>
      <c r="D11" s="4">
        <f>SUM(D5:D8)</f>
        <v>16.25</v>
      </c>
      <c r="E11" s="4" t="s">
        <v>253</v>
      </c>
      <c r="F11" s="4">
        <f>SUM(F5:F8)</f>
        <v>8.75</v>
      </c>
    </row>
    <row r="12" spans="1:6" x14ac:dyDescent="0.25">
      <c r="A12" s="2" t="s">
        <v>13</v>
      </c>
      <c r="B12" s="3">
        <f>B11+B9</f>
        <v>25.125</v>
      </c>
      <c r="C12" s="2"/>
      <c r="D12" s="3">
        <f>D11</f>
        <v>16.25</v>
      </c>
      <c r="E12" s="2"/>
      <c r="F12" s="3">
        <f>F11+F9</f>
        <v>8.875</v>
      </c>
    </row>
    <row r="14" spans="1:6" x14ac:dyDescent="0.25">
      <c r="A14" s="30" t="s">
        <v>290</v>
      </c>
    </row>
  </sheetData>
  <sheetProtection sheet="1" objects="1" scenarios="1" password="9DEB" selectLockedCells="1" selectUnlockedCells="1"/>
  <mergeCells count="2">
    <mergeCell ref="A2:F2"/>
    <mergeCell ref="A1:F1"/>
  </mergeCells>
  <pageMargins left="0.75" right="0.75" top="1" bottom="1" header="0.5" footer="0.5"/>
  <pageSetup fitToHeight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showGridLines="0" zoomScale="115" zoomScaleNormal="115" workbookViewId="0">
      <selection activeCell="A20" sqref="A20"/>
    </sheetView>
  </sheetViews>
  <sheetFormatPr defaultRowHeight="15" x14ac:dyDescent="0.25"/>
  <cols>
    <col min="1" max="1" width="32" customWidth="1"/>
    <col min="2" max="5" width="14" customWidth="1"/>
    <col min="6" max="6" width="18" customWidth="1"/>
    <col min="7" max="7" width="30" customWidth="1"/>
    <col min="8" max="8" width="35" customWidth="1"/>
  </cols>
  <sheetData>
    <row r="1" spans="1:8" ht="21" x14ac:dyDescent="0.35">
      <c r="A1" s="33" t="s">
        <v>254</v>
      </c>
      <c r="B1" s="32"/>
      <c r="C1" s="32"/>
      <c r="D1" s="32"/>
      <c r="E1" s="32"/>
      <c r="F1" s="32"/>
      <c r="G1" s="32"/>
      <c r="H1" s="32"/>
    </row>
    <row r="2" spans="1:8" x14ac:dyDescent="0.25">
      <c r="A2" s="31" t="s">
        <v>255</v>
      </c>
      <c r="B2" s="32"/>
      <c r="C2" s="32"/>
      <c r="D2" s="32"/>
      <c r="E2" s="32"/>
      <c r="F2" s="32"/>
      <c r="G2" s="32"/>
      <c r="H2" s="32"/>
    </row>
    <row r="4" spans="1:8" x14ac:dyDescent="0.25">
      <c r="A4" s="21" t="s">
        <v>256</v>
      </c>
      <c r="B4" s="21" t="s">
        <v>167</v>
      </c>
      <c r="C4" s="21" t="s">
        <v>168</v>
      </c>
      <c r="D4" s="21" t="s">
        <v>169</v>
      </c>
      <c r="E4" s="21" t="s">
        <v>170</v>
      </c>
      <c r="F4" s="21" t="s">
        <v>171</v>
      </c>
      <c r="G4" s="21" t="s">
        <v>257</v>
      </c>
      <c r="H4" s="21" t="s">
        <v>258</v>
      </c>
    </row>
    <row r="5" spans="1:8" x14ac:dyDescent="0.25">
      <c r="A5" s="2" t="s">
        <v>174</v>
      </c>
      <c r="B5" s="16">
        <v>0.75</v>
      </c>
      <c r="C5" s="16">
        <v>0.95</v>
      </c>
      <c r="D5" s="16">
        <v>1.08</v>
      </c>
      <c r="E5" s="16">
        <v>1.1499999999999999</v>
      </c>
      <c r="F5" s="2">
        <v>11</v>
      </c>
      <c r="G5" s="2" t="s">
        <v>259</v>
      </c>
      <c r="H5" s="2" t="s">
        <v>260</v>
      </c>
    </row>
    <row r="6" spans="1:8" x14ac:dyDescent="0.25">
      <c r="A6" s="2" t="s">
        <v>176</v>
      </c>
      <c r="B6" s="16">
        <v>1</v>
      </c>
      <c r="C6" s="16">
        <v>1</v>
      </c>
      <c r="D6" s="16">
        <v>1</v>
      </c>
      <c r="E6" s="16">
        <v>1</v>
      </c>
      <c r="F6" s="2">
        <v>14</v>
      </c>
      <c r="G6" s="2" t="s">
        <v>261</v>
      </c>
      <c r="H6" s="2" t="s">
        <v>262</v>
      </c>
    </row>
    <row r="7" spans="1:8" x14ac:dyDescent="0.25">
      <c r="A7" s="2" t="s">
        <v>178</v>
      </c>
      <c r="B7" s="16">
        <v>1.2</v>
      </c>
      <c r="C7" s="16">
        <v>1.05</v>
      </c>
      <c r="D7" s="16">
        <v>0.95</v>
      </c>
      <c r="E7" s="16">
        <v>0.95</v>
      </c>
      <c r="F7" s="2">
        <v>16</v>
      </c>
      <c r="G7" s="2" t="s">
        <v>263</v>
      </c>
      <c r="H7" s="2" t="s">
        <v>264</v>
      </c>
    </row>
    <row r="10" spans="1:8" x14ac:dyDescent="0.25">
      <c r="A10" t="s">
        <v>265</v>
      </c>
    </row>
    <row r="11" spans="1:8" x14ac:dyDescent="0.25">
      <c r="A11" t="s">
        <v>266</v>
      </c>
    </row>
    <row r="12" spans="1:8" x14ac:dyDescent="0.25">
      <c r="A12" t="s">
        <v>267</v>
      </c>
    </row>
    <row r="13" spans="1:8" x14ac:dyDescent="0.25">
      <c r="A13" t="s">
        <v>268</v>
      </c>
    </row>
    <row r="14" spans="1:8" x14ac:dyDescent="0.25">
      <c r="A14" t="s">
        <v>269</v>
      </c>
    </row>
    <row r="15" spans="1:8" x14ac:dyDescent="0.25">
      <c r="A15" t="s">
        <v>270</v>
      </c>
    </row>
    <row r="16" spans="1:8" x14ac:dyDescent="0.25">
      <c r="A16" t="s">
        <v>271</v>
      </c>
    </row>
    <row r="17" spans="1:1" x14ac:dyDescent="0.25">
      <c r="A17" t="s">
        <v>272</v>
      </c>
    </row>
    <row r="18" spans="1:1" x14ac:dyDescent="0.25">
      <c r="A18" t="s">
        <v>273</v>
      </c>
    </row>
    <row r="20" spans="1:1" x14ac:dyDescent="0.25">
      <c r="A20" s="30" t="s">
        <v>290</v>
      </c>
    </row>
  </sheetData>
  <sheetProtection sheet="1" objects="1" scenarios="1" password="9DEB" selectLockedCells="1" selectUnlockedCells="1"/>
  <mergeCells count="2">
    <mergeCell ref="A2:H2"/>
    <mergeCell ref="A1:H1"/>
  </mergeCells>
  <pageMargins left="0.75" right="0.75" top="1" bottom="1" header="0.5" footer="0.5"/>
  <pageSetup fitToHeight="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3"/>
  <sheetViews>
    <sheetView showGridLines="0" tabSelected="1" zoomScale="115" zoomScaleNormal="115" workbookViewId="0">
      <selection activeCell="A13" sqref="A13"/>
    </sheetView>
  </sheetViews>
  <sheetFormatPr defaultRowHeight="15" x14ac:dyDescent="0.25"/>
  <cols>
    <col min="1" max="1" width="38" customWidth="1"/>
    <col min="2" max="2" width="18" customWidth="1"/>
    <col min="3" max="3" width="15" customWidth="1"/>
    <col min="4" max="4" width="14" customWidth="1"/>
    <col min="5" max="5" width="60" customWidth="1"/>
  </cols>
  <sheetData>
    <row r="1" spans="1:5" ht="21" x14ac:dyDescent="0.35">
      <c r="A1" s="33" t="s">
        <v>274</v>
      </c>
      <c r="B1" s="32"/>
      <c r="C1" s="32"/>
      <c r="D1" s="32"/>
      <c r="E1" s="32"/>
    </row>
    <row r="2" spans="1:5" x14ac:dyDescent="0.25">
      <c r="A2" s="31" t="s">
        <v>275</v>
      </c>
      <c r="B2" s="32"/>
      <c r="C2" s="32"/>
      <c r="D2" s="32"/>
      <c r="E2" s="32"/>
    </row>
    <row r="4" spans="1:5" x14ac:dyDescent="0.25">
      <c r="A4" s="21" t="s">
        <v>276</v>
      </c>
      <c r="B4" s="21" t="s">
        <v>277</v>
      </c>
      <c r="C4" s="21" t="s">
        <v>278</v>
      </c>
      <c r="D4" s="21" t="s">
        <v>279</v>
      </c>
      <c r="E4" s="21" t="s">
        <v>280</v>
      </c>
    </row>
    <row r="5" spans="1:5" x14ac:dyDescent="0.25">
      <c r="A5" s="2" t="s">
        <v>55</v>
      </c>
      <c r="B5" s="3">
        <f>SUM(CAPEX!C5:C25)</f>
        <v>13.000000000000004</v>
      </c>
      <c r="C5" s="3">
        <v>13</v>
      </c>
      <c r="D5" s="2" t="str">
        <f t="shared" ref="D5:D10" si="0">IF(ABS(B5-C5)&lt;0.001,"PASS","CHECK")</f>
        <v>PASS</v>
      </c>
      <c r="E5" s="2"/>
    </row>
    <row r="6" spans="1:5" x14ac:dyDescent="0.25">
      <c r="A6" s="2" t="s">
        <v>281</v>
      </c>
      <c r="B6" s="3">
        <f>SUM(CAPEX!D5:D25)</f>
        <v>9.0000000000000036</v>
      </c>
      <c r="C6" s="3">
        <v>9</v>
      </c>
      <c r="D6" s="2" t="str">
        <f t="shared" si="0"/>
        <v>PASS</v>
      </c>
      <c r="E6" s="2"/>
    </row>
    <row r="7" spans="1:5" x14ac:dyDescent="0.25">
      <c r="A7" s="2" t="s">
        <v>58</v>
      </c>
      <c r="B7" s="3">
        <f>SUM(CAPEX!E5:E25)</f>
        <v>2</v>
      </c>
      <c r="C7" s="3">
        <v>2</v>
      </c>
      <c r="D7" s="2" t="str">
        <f t="shared" si="0"/>
        <v>PASS</v>
      </c>
      <c r="E7" s="2"/>
    </row>
    <row r="8" spans="1:5" x14ac:dyDescent="0.25">
      <c r="A8" s="2" t="s">
        <v>249</v>
      </c>
      <c r="B8" s="3">
        <f>SUM(CAPEX!F5:F25)</f>
        <v>0.99999999999999956</v>
      </c>
      <c r="C8" s="3">
        <v>1</v>
      </c>
      <c r="D8" s="2" t="str">
        <f t="shared" si="0"/>
        <v>PASS</v>
      </c>
      <c r="E8" s="2"/>
    </row>
    <row r="9" spans="1:5" x14ac:dyDescent="0.25">
      <c r="A9" s="2" t="s">
        <v>5</v>
      </c>
      <c r="B9" s="3">
        <f>SUM(CAPEX!C26:F26)</f>
        <v>25.000000000000007</v>
      </c>
      <c r="C9" s="3">
        <v>25</v>
      </c>
      <c r="D9" s="2" t="str">
        <f t="shared" si="0"/>
        <v>PASS</v>
      </c>
      <c r="E9" s="2"/>
    </row>
    <row r="10" spans="1:5" x14ac:dyDescent="0.25">
      <c r="A10" s="2" t="s">
        <v>13</v>
      </c>
      <c r="B10" s="3">
        <f>SUM(CAPEX!G5:G25)</f>
        <v>25.124999999999982</v>
      </c>
      <c r="C10" s="3">
        <v>25.125</v>
      </c>
      <c r="D10" s="2" t="str">
        <f t="shared" si="0"/>
        <v>PASS</v>
      </c>
      <c r="E10" s="2"/>
    </row>
    <row r="11" spans="1:5" x14ac:dyDescent="0.25">
      <c r="A11" s="2" t="s">
        <v>282</v>
      </c>
      <c r="B11" s="3">
        <f>'Project Cash Flow'!H25</f>
        <v>44.685124383522393</v>
      </c>
      <c r="C11" s="3">
        <v>0</v>
      </c>
      <c r="D11" s="2" t="str">
        <f>IF(B11&gt;=0,"PASS","CHECK")</f>
        <v>PASS</v>
      </c>
      <c r="E11" s="2" t="s">
        <v>283</v>
      </c>
    </row>
    <row r="13" spans="1:5" x14ac:dyDescent="0.25">
      <c r="A13" s="30" t="s">
        <v>290</v>
      </c>
    </row>
  </sheetData>
  <sheetProtection sheet="1" objects="1" scenarios="1" password="9DEB" selectLockedCells="1" selectUnlockedCells="1"/>
  <mergeCells count="2">
    <mergeCell ref="A2:E2"/>
    <mergeCell ref="A1:E1"/>
  </mergeCells>
  <pageMargins left="0.75" right="0.75" top="1" bottom="1" header="0.5" footer="0.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showGridLines="0" zoomScale="115" zoomScaleNormal="115" workbookViewId="0">
      <pane ySplit="4" topLeftCell="A7" activePane="bottomLeft" state="frozen"/>
      <selection pane="bottomLeft" activeCell="A28" sqref="A28"/>
    </sheetView>
  </sheetViews>
  <sheetFormatPr defaultRowHeight="15" x14ac:dyDescent="0.25"/>
  <cols>
    <col min="1" max="1" width="9" customWidth="1"/>
    <col min="2" max="2" width="18" customWidth="1"/>
    <col min="3" max="3" width="14" customWidth="1"/>
    <col min="4" max="4" width="18" customWidth="1"/>
    <col min="5" max="5" width="16" customWidth="1"/>
    <col min="6" max="6" width="14" customWidth="1"/>
    <col min="7" max="7" width="16" customWidth="1"/>
    <col min="8" max="8" width="18" customWidth="1"/>
    <col min="9" max="9" width="30" customWidth="1"/>
  </cols>
  <sheetData>
    <row r="1" spans="1:9" ht="21" x14ac:dyDescent="0.35">
      <c r="A1" s="33" t="s">
        <v>29</v>
      </c>
      <c r="B1" s="32"/>
      <c r="C1" s="32"/>
      <c r="D1" s="32"/>
      <c r="E1" s="32"/>
      <c r="F1" s="32"/>
      <c r="G1" s="32"/>
      <c r="H1" s="32"/>
      <c r="I1" s="32"/>
    </row>
    <row r="2" spans="1:9" x14ac:dyDescent="0.25">
      <c r="A2" s="31" t="s">
        <v>30</v>
      </c>
      <c r="B2" s="32"/>
      <c r="C2" s="32"/>
      <c r="D2" s="32"/>
      <c r="E2" s="32"/>
      <c r="F2" s="32"/>
      <c r="G2" s="32"/>
      <c r="H2" s="32"/>
      <c r="I2" s="32"/>
    </row>
    <row r="4" spans="1:9" x14ac:dyDescent="0.25">
      <c r="A4" s="5" t="s">
        <v>31</v>
      </c>
      <c r="B4" s="5" t="s">
        <v>32</v>
      </c>
      <c r="C4" s="5" t="s">
        <v>17</v>
      </c>
      <c r="D4" s="5" t="s">
        <v>33</v>
      </c>
      <c r="E4" s="5" t="s">
        <v>34</v>
      </c>
      <c r="F4" s="5" t="s">
        <v>25</v>
      </c>
      <c r="G4" s="5" t="s">
        <v>35</v>
      </c>
      <c r="H4" s="5" t="s">
        <v>36</v>
      </c>
      <c r="I4" s="5" t="s">
        <v>37</v>
      </c>
    </row>
    <row r="5" spans="1:9" x14ac:dyDescent="0.25">
      <c r="A5" s="2">
        <v>0</v>
      </c>
      <c r="B5" s="3">
        <v>0.125</v>
      </c>
      <c r="C5" s="3">
        <v>0</v>
      </c>
      <c r="D5" s="3">
        <v>0</v>
      </c>
      <c r="E5" s="3">
        <v>0</v>
      </c>
      <c r="F5" s="3">
        <v>0</v>
      </c>
      <c r="G5" s="11">
        <f t="shared" ref="G5:G25" si="0">SUM(B5:F5)</f>
        <v>0.125</v>
      </c>
      <c r="H5" s="11">
        <f>G5</f>
        <v>0.125</v>
      </c>
      <c r="I5" s="2" t="s">
        <v>38</v>
      </c>
    </row>
    <row r="6" spans="1:9" x14ac:dyDescent="0.25">
      <c r="A6" s="2">
        <v>1</v>
      </c>
      <c r="B6" s="3">
        <v>0</v>
      </c>
      <c r="C6" s="3">
        <v>0.65</v>
      </c>
      <c r="D6" s="3">
        <v>1.285714285714286</v>
      </c>
      <c r="E6" s="3">
        <v>0.4</v>
      </c>
      <c r="F6" s="3">
        <v>0.14285714285714279</v>
      </c>
      <c r="G6" s="11">
        <f t="shared" si="0"/>
        <v>2.4785714285714286</v>
      </c>
      <c r="H6" s="11">
        <f t="shared" ref="H6:H25" si="1">H5+G6</f>
        <v>2.6035714285714286</v>
      </c>
      <c r="I6" s="2" t="s">
        <v>39</v>
      </c>
    </row>
    <row r="7" spans="1:9" x14ac:dyDescent="0.25">
      <c r="A7" s="2">
        <v>2</v>
      </c>
      <c r="B7" s="3">
        <v>0</v>
      </c>
      <c r="C7" s="3">
        <v>0.65</v>
      </c>
      <c r="D7" s="3">
        <v>1.285714285714286</v>
      </c>
      <c r="E7" s="3">
        <v>0.4</v>
      </c>
      <c r="F7" s="3">
        <v>0.14285714285714279</v>
      </c>
      <c r="G7" s="23">
        <f t="shared" si="0"/>
        <v>2.4785714285714286</v>
      </c>
      <c r="H7" s="23">
        <f t="shared" si="1"/>
        <v>5.0821428571428573</v>
      </c>
      <c r="I7" s="2" t="s">
        <v>39</v>
      </c>
    </row>
    <row r="8" spans="1:9" x14ac:dyDescent="0.25">
      <c r="A8" s="2">
        <v>3</v>
      </c>
      <c r="B8" s="3">
        <v>0</v>
      </c>
      <c r="C8" s="3">
        <v>0.65</v>
      </c>
      <c r="D8" s="3">
        <v>1.285714285714286</v>
      </c>
      <c r="E8" s="3">
        <v>0.4</v>
      </c>
      <c r="F8" s="3">
        <v>0.14285714285714279</v>
      </c>
      <c r="G8" s="23">
        <f t="shared" si="0"/>
        <v>2.4785714285714286</v>
      </c>
      <c r="H8" s="23">
        <f t="shared" si="1"/>
        <v>7.5607142857142859</v>
      </c>
      <c r="I8" s="2" t="s">
        <v>39</v>
      </c>
    </row>
    <row r="9" spans="1:9" x14ac:dyDescent="0.25">
      <c r="A9" s="2">
        <v>4</v>
      </c>
      <c r="B9" s="3">
        <v>0</v>
      </c>
      <c r="C9" s="3">
        <v>0.65</v>
      </c>
      <c r="D9" s="3">
        <v>1.285714285714286</v>
      </c>
      <c r="E9" s="3">
        <v>0.4</v>
      </c>
      <c r="F9" s="3">
        <v>0.14285714285714279</v>
      </c>
      <c r="G9" s="23">
        <f t="shared" si="0"/>
        <v>2.4785714285714286</v>
      </c>
      <c r="H9" s="23">
        <f t="shared" si="1"/>
        <v>10.039285714285715</v>
      </c>
      <c r="I9" s="2" t="s">
        <v>39</v>
      </c>
    </row>
    <row r="10" spans="1:9" x14ac:dyDescent="0.25">
      <c r="A10" s="2">
        <v>5</v>
      </c>
      <c r="B10" s="3">
        <v>0</v>
      </c>
      <c r="C10" s="3">
        <v>0.65</v>
      </c>
      <c r="D10" s="3">
        <v>1.285714285714286</v>
      </c>
      <c r="E10" s="3">
        <v>0.4</v>
      </c>
      <c r="F10" s="3">
        <v>0.14285714285714279</v>
      </c>
      <c r="G10" s="23">
        <f t="shared" si="0"/>
        <v>2.4785714285714286</v>
      </c>
      <c r="H10" s="23">
        <f t="shared" si="1"/>
        <v>12.517857142857142</v>
      </c>
      <c r="I10" s="2" t="s">
        <v>39</v>
      </c>
    </row>
    <row r="11" spans="1:9" x14ac:dyDescent="0.25">
      <c r="A11" s="2">
        <v>6</v>
      </c>
      <c r="B11" s="3">
        <v>0</v>
      </c>
      <c r="C11" s="3">
        <v>0.65</v>
      </c>
      <c r="D11" s="3">
        <v>1.285714285714286</v>
      </c>
      <c r="E11" s="3">
        <v>0</v>
      </c>
      <c r="F11" s="3">
        <v>0.14285714285714279</v>
      </c>
      <c r="G11" s="23">
        <f t="shared" si="0"/>
        <v>2.0785714285714287</v>
      </c>
      <c r="H11" s="23">
        <f t="shared" si="1"/>
        <v>14.596428571428572</v>
      </c>
      <c r="I11" s="2" t="s">
        <v>40</v>
      </c>
    </row>
    <row r="12" spans="1:9" x14ac:dyDescent="0.25">
      <c r="A12" s="2">
        <v>7</v>
      </c>
      <c r="B12" s="3">
        <v>0</v>
      </c>
      <c r="C12" s="3">
        <v>0.65</v>
      </c>
      <c r="D12" s="3">
        <v>1.285714285714286</v>
      </c>
      <c r="E12" s="3">
        <v>0</v>
      </c>
      <c r="F12" s="3">
        <v>0.14285714285714279</v>
      </c>
      <c r="G12" s="23">
        <f t="shared" si="0"/>
        <v>2.0785714285714287</v>
      </c>
      <c r="H12" s="23">
        <f t="shared" si="1"/>
        <v>16.675000000000001</v>
      </c>
      <c r="I12" s="2" t="s">
        <v>40</v>
      </c>
    </row>
    <row r="13" spans="1:9" x14ac:dyDescent="0.25">
      <c r="A13" s="2">
        <v>8</v>
      </c>
      <c r="B13" s="3">
        <v>0</v>
      </c>
      <c r="C13" s="3">
        <v>0.65</v>
      </c>
      <c r="D13" s="3">
        <v>0</v>
      </c>
      <c r="E13" s="3">
        <v>0</v>
      </c>
      <c r="F13" s="3">
        <v>0</v>
      </c>
      <c r="G13" s="23">
        <f t="shared" si="0"/>
        <v>0.65</v>
      </c>
      <c r="H13" s="23">
        <f t="shared" si="1"/>
        <v>17.324999999999999</v>
      </c>
      <c r="I13" s="2" t="s">
        <v>40</v>
      </c>
    </row>
    <row r="14" spans="1:9" x14ac:dyDescent="0.25">
      <c r="A14" s="2">
        <v>9</v>
      </c>
      <c r="B14" s="3">
        <v>0</v>
      </c>
      <c r="C14" s="3">
        <v>0.65</v>
      </c>
      <c r="D14" s="3">
        <v>0</v>
      </c>
      <c r="E14" s="3">
        <v>0</v>
      </c>
      <c r="F14" s="3">
        <v>0</v>
      </c>
      <c r="G14" s="23">
        <f t="shared" si="0"/>
        <v>0.65</v>
      </c>
      <c r="H14" s="23">
        <f t="shared" si="1"/>
        <v>17.974999999999998</v>
      </c>
      <c r="I14" s="2" t="s">
        <v>40</v>
      </c>
    </row>
    <row r="15" spans="1:9" x14ac:dyDescent="0.25">
      <c r="A15" s="2">
        <v>10</v>
      </c>
      <c r="B15" s="3">
        <v>0</v>
      </c>
      <c r="C15" s="3">
        <v>0.65</v>
      </c>
      <c r="D15" s="3">
        <v>0</v>
      </c>
      <c r="E15" s="3">
        <v>0</v>
      </c>
      <c r="F15" s="3">
        <v>0</v>
      </c>
      <c r="G15" s="23">
        <f t="shared" si="0"/>
        <v>0.65</v>
      </c>
      <c r="H15" s="23">
        <f t="shared" si="1"/>
        <v>18.624999999999996</v>
      </c>
      <c r="I15" s="2" t="s">
        <v>40</v>
      </c>
    </row>
    <row r="16" spans="1:9" x14ac:dyDescent="0.25">
      <c r="A16" s="2">
        <v>11</v>
      </c>
      <c r="B16" s="3">
        <v>0</v>
      </c>
      <c r="C16" s="3">
        <v>0.65</v>
      </c>
      <c r="D16" s="3">
        <v>0</v>
      </c>
      <c r="E16" s="3">
        <v>0</v>
      </c>
      <c r="F16" s="3">
        <v>0</v>
      </c>
      <c r="G16" s="23">
        <f t="shared" si="0"/>
        <v>0.65</v>
      </c>
      <c r="H16" s="23">
        <f t="shared" si="1"/>
        <v>19.274999999999995</v>
      </c>
      <c r="I16" s="2" t="s">
        <v>41</v>
      </c>
    </row>
    <row r="17" spans="1:9" x14ac:dyDescent="0.25">
      <c r="A17" s="2">
        <v>12</v>
      </c>
      <c r="B17" s="3">
        <v>0</v>
      </c>
      <c r="C17" s="3">
        <v>0.65</v>
      </c>
      <c r="D17" s="3">
        <v>0</v>
      </c>
      <c r="E17" s="3">
        <v>0</v>
      </c>
      <c r="F17" s="3">
        <v>0</v>
      </c>
      <c r="G17" s="23">
        <f t="shared" si="0"/>
        <v>0.65</v>
      </c>
      <c r="H17" s="23">
        <f t="shared" si="1"/>
        <v>19.924999999999994</v>
      </c>
      <c r="I17" s="2" t="s">
        <v>41</v>
      </c>
    </row>
    <row r="18" spans="1:9" x14ac:dyDescent="0.25">
      <c r="A18" s="2">
        <v>13</v>
      </c>
      <c r="B18" s="3">
        <v>0</v>
      </c>
      <c r="C18" s="3">
        <v>0.65</v>
      </c>
      <c r="D18" s="3">
        <v>0</v>
      </c>
      <c r="E18" s="3">
        <v>0</v>
      </c>
      <c r="F18" s="3">
        <v>0</v>
      </c>
      <c r="G18" s="23">
        <f t="shared" si="0"/>
        <v>0.65</v>
      </c>
      <c r="H18" s="23">
        <f t="shared" si="1"/>
        <v>20.574999999999992</v>
      </c>
      <c r="I18" s="2" t="s">
        <v>41</v>
      </c>
    </row>
    <row r="19" spans="1:9" x14ac:dyDescent="0.25">
      <c r="A19" s="2">
        <v>14</v>
      </c>
      <c r="B19" s="3">
        <v>0</v>
      </c>
      <c r="C19" s="3">
        <v>0.65</v>
      </c>
      <c r="D19" s="3">
        <v>0</v>
      </c>
      <c r="E19" s="3">
        <v>0</v>
      </c>
      <c r="F19" s="3">
        <v>0</v>
      </c>
      <c r="G19" s="23">
        <f t="shared" si="0"/>
        <v>0.65</v>
      </c>
      <c r="H19" s="23">
        <f t="shared" si="1"/>
        <v>21.224999999999991</v>
      </c>
      <c r="I19" s="2" t="s">
        <v>41</v>
      </c>
    </row>
    <row r="20" spans="1:9" x14ac:dyDescent="0.25">
      <c r="A20" s="2">
        <v>15</v>
      </c>
      <c r="B20" s="3">
        <v>0</v>
      </c>
      <c r="C20" s="3">
        <v>0.65</v>
      </c>
      <c r="D20" s="3">
        <v>0</v>
      </c>
      <c r="E20" s="3">
        <v>0</v>
      </c>
      <c r="F20" s="3">
        <v>0</v>
      </c>
      <c r="G20" s="23">
        <f t="shared" si="0"/>
        <v>0.65</v>
      </c>
      <c r="H20" s="23">
        <f t="shared" si="1"/>
        <v>21.874999999999989</v>
      </c>
      <c r="I20" s="2" t="s">
        <v>41</v>
      </c>
    </row>
    <row r="21" spans="1:9" x14ac:dyDescent="0.25">
      <c r="A21" s="2">
        <v>16</v>
      </c>
      <c r="B21" s="3">
        <v>0</v>
      </c>
      <c r="C21" s="3">
        <v>0.65</v>
      </c>
      <c r="D21" s="3">
        <v>0</v>
      </c>
      <c r="E21" s="3">
        <v>0</v>
      </c>
      <c r="F21" s="3">
        <v>0</v>
      </c>
      <c r="G21" s="23">
        <f t="shared" si="0"/>
        <v>0.65</v>
      </c>
      <c r="H21" s="23">
        <f t="shared" si="1"/>
        <v>22.524999999999988</v>
      </c>
      <c r="I21" s="2" t="s">
        <v>42</v>
      </c>
    </row>
    <row r="22" spans="1:9" x14ac:dyDescent="0.25">
      <c r="A22" s="2">
        <v>17</v>
      </c>
      <c r="B22" s="3">
        <v>0</v>
      </c>
      <c r="C22" s="3">
        <v>0.65</v>
      </c>
      <c r="D22" s="3">
        <v>0</v>
      </c>
      <c r="E22" s="3">
        <v>0</v>
      </c>
      <c r="F22" s="3">
        <v>0</v>
      </c>
      <c r="G22" s="23">
        <f t="shared" si="0"/>
        <v>0.65</v>
      </c>
      <c r="H22" s="23">
        <f t="shared" si="1"/>
        <v>23.174999999999986</v>
      </c>
      <c r="I22" s="2" t="s">
        <v>42</v>
      </c>
    </row>
    <row r="23" spans="1:9" x14ac:dyDescent="0.25">
      <c r="A23" s="2">
        <v>18</v>
      </c>
      <c r="B23" s="3">
        <v>0</v>
      </c>
      <c r="C23" s="3">
        <v>0.65</v>
      </c>
      <c r="D23" s="3">
        <v>0</v>
      </c>
      <c r="E23" s="3">
        <v>0</v>
      </c>
      <c r="F23" s="3">
        <v>0</v>
      </c>
      <c r="G23" s="23">
        <f t="shared" si="0"/>
        <v>0.65</v>
      </c>
      <c r="H23" s="23">
        <f t="shared" si="1"/>
        <v>23.824999999999985</v>
      </c>
      <c r="I23" s="2" t="s">
        <v>42</v>
      </c>
    </row>
    <row r="24" spans="1:9" x14ac:dyDescent="0.25">
      <c r="A24" s="2">
        <v>19</v>
      </c>
      <c r="B24" s="3">
        <v>0</v>
      </c>
      <c r="C24" s="3">
        <v>0.65</v>
      </c>
      <c r="D24" s="3">
        <v>0</v>
      </c>
      <c r="E24" s="3">
        <v>0</v>
      </c>
      <c r="F24" s="3">
        <v>0</v>
      </c>
      <c r="G24" s="23">
        <f t="shared" si="0"/>
        <v>0.65</v>
      </c>
      <c r="H24" s="23">
        <f t="shared" si="1"/>
        <v>24.474999999999984</v>
      </c>
      <c r="I24" s="2" t="s">
        <v>42</v>
      </c>
    </row>
    <row r="25" spans="1:9" x14ac:dyDescent="0.25">
      <c r="A25" s="2">
        <v>20</v>
      </c>
      <c r="B25" s="3">
        <v>0</v>
      </c>
      <c r="C25" s="3">
        <v>0.65</v>
      </c>
      <c r="D25" s="3">
        <v>0</v>
      </c>
      <c r="E25" s="3">
        <v>0</v>
      </c>
      <c r="F25" s="3">
        <v>0</v>
      </c>
      <c r="G25" s="23">
        <f t="shared" si="0"/>
        <v>0.65</v>
      </c>
      <c r="H25" s="23">
        <f t="shared" si="1"/>
        <v>25.124999999999982</v>
      </c>
      <c r="I25" s="2" t="s">
        <v>42</v>
      </c>
    </row>
    <row r="26" spans="1:9" x14ac:dyDescent="0.25">
      <c r="A26" s="4" t="s">
        <v>43</v>
      </c>
      <c r="B26" s="12">
        <f t="shared" ref="B26:G26" si="2">SUM(B5:B25)</f>
        <v>0.125</v>
      </c>
      <c r="C26" s="12">
        <f t="shared" si="2"/>
        <v>13.000000000000004</v>
      </c>
      <c r="D26" s="12">
        <f t="shared" si="2"/>
        <v>9.0000000000000036</v>
      </c>
      <c r="E26" s="12">
        <f t="shared" si="2"/>
        <v>2</v>
      </c>
      <c r="F26" s="12">
        <f t="shared" si="2"/>
        <v>0.99999999999999956</v>
      </c>
      <c r="G26" s="12">
        <f t="shared" si="2"/>
        <v>25.124999999999982</v>
      </c>
      <c r="H26" s="12"/>
    </row>
    <row r="28" spans="1:9" x14ac:dyDescent="0.25">
      <c r="A28" s="30" t="s">
        <v>290</v>
      </c>
    </row>
  </sheetData>
  <sheetProtection sheet="1" objects="1" scenarios="1" password="9DEB" selectLockedCells="1" selectUnlockedCells="1"/>
  <mergeCells count="2">
    <mergeCell ref="A1:I1"/>
    <mergeCell ref="A2:I2"/>
  </mergeCells>
  <pageMargins left="0.75" right="0.75" top="1" bottom="1" header="0.5" footer="0.5"/>
  <pageSetup fitToHeight="0" orientation="landscape"/>
  <ignoredErrors>
    <ignoredError sqref="G7:G25" formulaRange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"/>
  <sheetViews>
    <sheetView showGridLines="0" workbookViewId="0">
      <pane ySplit="4" topLeftCell="A43" activePane="bottomLeft" state="frozen"/>
      <selection pane="bottomLeft" activeCell="A65" sqref="A65"/>
    </sheetView>
  </sheetViews>
  <sheetFormatPr defaultRowHeight="15" x14ac:dyDescent="0.25"/>
  <cols>
    <col min="1" max="1" width="38" customWidth="1"/>
    <col min="2" max="2" width="18" customWidth="1"/>
    <col min="3" max="3" width="20" customWidth="1"/>
    <col min="4" max="4" width="24" customWidth="1"/>
    <col min="5" max="5" width="70" customWidth="1"/>
    <col min="6" max="6" width="15.7109375" bestFit="1" customWidth="1"/>
  </cols>
  <sheetData>
    <row r="1" spans="1:5" ht="21" x14ac:dyDescent="0.35">
      <c r="A1" s="33" t="s">
        <v>44</v>
      </c>
      <c r="B1" s="32"/>
      <c r="C1" s="32"/>
      <c r="D1" s="32"/>
      <c r="E1" s="32"/>
    </row>
    <row r="2" spans="1:5" x14ac:dyDescent="0.25">
      <c r="A2" s="31" t="s">
        <v>45</v>
      </c>
      <c r="B2" s="32"/>
      <c r="C2" s="32"/>
      <c r="D2" s="32"/>
      <c r="E2" s="32"/>
    </row>
    <row r="4" spans="1:5" x14ac:dyDescent="0.25">
      <c r="A4" s="21" t="s">
        <v>46</v>
      </c>
      <c r="B4" s="21" t="s">
        <v>47</v>
      </c>
      <c r="C4" s="21" t="s">
        <v>48</v>
      </c>
      <c r="D4" s="21" t="s">
        <v>49</v>
      </c>
      <c r="E4" s="21" t="s">
        <v>50</v>
      </c>
    </row>
    <row r="5" spans="1:5" x14ac:dyDescent="0.25">
      <c r="A5" s="6" t="s">
        <v>51</v>
      </c>
      <c r="B5" s="7">
        <v>0.125</v>
      </c>
      <c r="C5" s="6" t="s">
        <v>52</v>
      </c>
      <c r="D5" s="6" t="s">
        <v>53</v>
      </c>
      <c r="E5" s="6" t="s">
        <v>54</v>
      </c>
    </row>
    <row r="6" spans="1:5" x14ac:dyDescent="0.25">
      <c r="A6" s="6" t="s">
        <v>55</v>
      </c>
      <c r="B6" s="7">
        <v>13</v>
      </c>
      <c r="C6" s="6" t="s">
        <v>52</v>
      </c>
      <c r="D6" s="6" t="s">
        <v>53</v>
      </c>
      <c r="E6" s="6" t="s">
        <v>56</v>
      </c>
    </row>
    <row r="7" spans="1:5" x14ac:dyDescent="0.25">
      <c r="A7" s="6" t="s">
        <v>57</v>
      </c>
      <c r="B7" s="7">
        <v>9</v>
      </c>
      <c r="C7" s="6" t="s">
        <v>52</v>
      </c>
      <c r="D7" s="6" t="s">
        <v>53</v>
      </c>
      <c r="E7" s="6" t="s">
        <v>56</v>
      </c>
    </row>
    <row r="8" spans="1:5" x14ac:dyDescent="0.25">
      <c r="A8" s="6" t="s">
        <v>58</v>
      </c>
      <c r="B8" s="7">
        <v>2</v>
      </c>
      <c r="C8" s="6" t="s">
        <v>52</v>
      </c>
      <c r="D8" s="6" t="s">
        <v>53</v>
      </c>
      <c r="E8" s="6" t="s">
        <v>56</v>
      </c>
    </row>
    <row r="9" spans="1:5" x14ac:dyDescent="0.25">
      <c r="A9" s="6" t="s">
        <v>59</v>
      </c>
      <c r="B9" s="7">
        <v>1</v>
      </c>
      <c r="C9" s="6" t="s">
        <v>52</v>
      </c>
      <c r="D9" s="6" t="s">
        <v>53</v>
      </c>
      <c r="E9" s="6" t="s">
        <v>56</v>
      </c>
    </row>
    <row r="10" spans="1:5" x14ac:dyDescent="0.25">
      <c r="A10" s="6" t="s">
        <v>5</v>
      </c>
      <c r="B10" s="7">
        <v>25</v>
      </c>
      <c r="C10" s="6" t="s">
        <v>52</v>
      </c>
      <c r="D10" s="6" t="s">
        <v>60</v>
      </c>
      <c r="E10" s="6" t="s">
        <v>61</v>
      </c>
    </row>
    <row r="11" spans="1:5" x14ac:dyDescent="0.25">
      <c r="A11" s="6" t="s">
        <v>62</v>
      </c>
      <c r="B11" s="7">
        <v>25.125</v>
      </c>
      <c r="C11" s="6" t="s">
        <v>52</v>
      </c>
      <c r="D11" s="6" t="s">
        <v>60</v>
      </c>
      <c r="E11" s="6" t="s">
        <v>63</v>
      </c>
    </row>
    <row r="12" spans="1:5" x14ac:dyDescent="0.25">
      <c r="A12" s="6" t="s">
        <v>64</v>
      </c>
      <c r="B12" s="7">
        <v>20</v>
      </c>
      <c r="C12" s="6" t="s">
        <v>65</v>
      </c>
      <c r="D12" s="6" t="s">
        <v>66</v>
      </c>
      <c r="E12" s="6" t="s">
        <v>67</v>
      </c>
    </row>
    <row r="13" spans="1:5" x14ac:dyDescent="0.25">
      <c r="A13" s="6" t="s">
        <v>68</v>
      </c>
      <c r="B13" s="7">
        <v>7</v>
      </c>
      <c r="C13" s="6" t="s">
        <v>65</v>
      </c>
      <c r="D13" s="6" t="s">
        <v>66</v>
      </c>
      <c r="E13" s="6" t="s">
        <v>69</v>
      </c>
    </row>
    <row r="14" spans="1:5" x14ac:dyDescent="0.25">
      <c r="A14" s="6" t="s">
        <v>70</v>
      </c>
      <c r="B14" s="7">
        <v>5</v>
      </c>
      <c r="C14" s="6" t="s">
        <v>65</v>
      </c>
      <c r="D14" s="6" t="s">
        <v>71</v>
      </c>
      <c r="E14" s="6" t="s">
        <v>72</v>
      </c>
    </row>
    <row r="15" spans="1:5" x14ac:dyDescent="0.25">
      <c r="A15" s="6" t="s">
        <v>73</v>
      </c>
      <c r="B15" s="7">
        <v>7</v>
      </c>
      <c r="C15" s="6" t="s">
        <v>65</v>
      </c>
      <c r="D15" s="6" t="s">
        <v>53</v>
      </c>
      <c r="E15" s="6" t="s">
        <v>56</v>
      </c>
    </row>
    <row r="16" spans="1:5" x14ac:dyDescent="0.25">
      <c r="A16" s="6"/>
      <c r="B16" s="7"/>
      <c r="C16" s="6"/>
      <c r="D16" s="6"/>
      <c r="E16" s="6"/>
    </row>
    <row r="17" spans="1:6" x14ac:dyDescent="0.25">
      <c r="A17" s="6" t="s">
        <v>286</v>
      </c>
      <c r="B17" s="7"/>
      <c r="C17" s="6"/>
      <c r="D17" s="6"/>
      <c r="E17" s="6"/>
    </row>
    <row r="18" spans="1:6" x14ac:dyDescent="0.25">
      <c r="A18" s="6" t="s">
        <v>74</v>
      </c>
      <c r="B18" s="7">
        <v>7.7</v>
      </c>
      <c r="C18" s="6" t="s">
        <v>75</v>
      </c>
      <c r="D18" s="6" t="s">
        <v>76</v>
      </c>
      <c r="E18" s="6" t="s">
        <v>77</v>
      </c>
    </row>
    <row r="19" spans="1:6" x14ac:dyDescent="0.25">
      <c r="A19" s="6" t="s">
        <v>78</v>
      </c>
      <c r="B19" s="8">
        <v>0.08</v>
      </c>
      <c r="C19" s="6" t="s">
        <v>79</v>
      </c>
      <c r="D19" s="6" t="s">
        <v>76</v>
      </c>
      <c r="E19" s="6" t="s">
        <v>80</v>
      </c>
    </row>
    <row r="20" spans="1:6" x14ac:dyDescent="0.25">
      <c r="A20" s="6" t="s">
        <v>81</v>
      </c>
      <c r="B20" s="7">
        <v>45</v>
      </c>
      <c r="C20" s="6" t="s">
        <v>82</v>
      </c>
      <c r="D20" s="6" t="s">
        <v>76</v>
      </c>
      <c r="E20" s="6" t="s">
        <v>83</v>
      </c>
      <c r="F20" s="26"/>
    </row>
    <row r="21" spans="1:6" x14ac:dyDescent="0.25">
      <c r="A21" s="6" t="s">
        <v>84</v>
      </c>
      <c r="B21" s="7">
        <v>0.85</v>
      </c>
      <c r="C21" s="6" t="s">
        <v>85</v>
      </c>
      <c r="D21" s="6" t="s">
        <v>76</v>
      </c>
      <c r="E21" s="6" t="s">
        <v>86</v>
      </c>
    </row>
    <row r="22" spans="1:6" x14ac:dyDescent="0.25">
      <c r="A22" s="6" t="s">
        <v>87</v>
      </c>
      <c r="B22" s="8">
        <v>0.08</v>
      </c>
      <c r="C22" s="6" t="s">
        <v>79</v>
      </c>
      <c r="D22" s="6" t="s">
        <v>76</v>
      </c>
      <c r="E22" s="6" t="s">
        <v>80</v>
      </c>
    </row>
    <row r="23" spans="1:6" x14ac:dyDescent="0.25">
      <c r="A23" s="6" t="s">
        <v>88</v>
      </c>
      <c r="B23" s="7">
        <v>110</v>
      </c>
      <c r="C23" s="6" t="s">
        <v>89</v>
      </c>
      <c r="D23" s="6" t="s">
        <v>76</v>
      </c>
      <c r="E23" s="6" t="s">
        <v>90</v>
      </c>
    </row>
    <row r="24" spans="1:6" x14ac:dyDescent="0.25">
      <c r="A24" s="6" t="s">
        <v>91</v>
      </c>
      <c r="B24" s="8">
        <v>0.55000000000000004</v>
      </c>
      <c r="C24" s="6" t="s">
        <v>79</v>
      </c>
      <c r="D24" s="6" t="s">
        <v>76</v>
      </c>
      <c r="E24" s="6" t="s">
        <v>92</v>
      </c>
    </row>
    <row r="25" spans="1:6" x14ac:dyDescent="0.25">
      <c r="A25" s="6"/>
      <c r="B25" s="7">
        <f>+((((B18*1000000)*B20)/1000000000)+(((B21*1000000)*B23)/1000000000))+(1*B24)</f>
        <v>0.99</v>
      </c>
      <c r="C25" s="6"/>
      <c r="D25" s="6"/>
      <c r="E25" s="6"/>
    </row>
    <row r="26" spans="1:6" x14ac:dyDescent="0.25">
      <c r="A26" s="6" t="s">
        <v>287</v>
      </c>
      <c r="B26" s="8"/>
      <c r="C26" s="6"/>
      <c r="D26" s="6"/>
      <c r="E26" s="6"/>
    </row>
    <row r="27" spans="1:6" x14ac:dyDescent="0.25">
      <c r="A27" s="6" t="s">
        <v>93</v>
      </c>
      <c r="B27" s="7">
        <v>9</v>
      </c>
      <c r="C27" s="6" t="s">
        <v>94</v>
      </c>
      <c r="D27" s="6" t="s">
        <v>76</v>
      </c>
      <c r="E27" s="6" t="s">
        <v>95</v>
      </c>
    </row>
    <row r="28" spans="1:6" x14ac:dyDescent="0.25">
      <c r="A28" s="6" t="s">
        <v>96</v>
      </c>
      <c r="B28" s="8">
        <v>0.06</v>
      </c>
      <c r="C28" s="6" t="s">
        <v>79</v>
      </c>
      <c r="D28" s="6" t="s">
        <v>76</v>
      </c>
      <c r="E28" s="6" t="s">
        <v>97</v>
      </c>
    </row>
    <row r="29" spans="1:6" x14ac:dyDescent="0.25">
      <c r="A29" s="6" t="s">
        <v>98</v>
      </c>
      <c r="B29" s="7">
        <v>26.1</v>
      </c>
      <c r="C29" s="6" t="s">
        <v>99</v>
      </c>
      <c r="D29" s="6" t="s">
        <v>76</v>
      </c>
      <c r="E29" s="6" t="s">
        <v>100</v>
      </c>
    </row>
    <row r="30" spans="1:6" x14ac:dyDescent="0.25">
      <c r="A30" s="6" t="s">
        <v>101</v>
      </c>
      <c r="B30" s="7">
        <v>3.5</v>
      </c>
      <c r="C30" s="6" t="s">
        <v>85</v>
      </c>
      <c r="D30" s="6" t="s">
        <v>76</v>
      </c>
      <c r="E30" s="6" t="s">
        <v>102</v>
      </c>
    </row>
    <row r="31" spans="1:6" x14ac:dyDescent="0.25">
      <c r="A31" s="6" t="s">
        <v>103</v>
      </c>
      <c r="B31" s="8">
        <v>0.06</v>
      </c>
      <c r="C31" s="6" t="s">
        <v>79</v>
      </c>
      <c r="D31" s="6" t="s">
        <v>76</v>
      </c>
      <c r="E31" s="6" t="s">
        <v>104</v>
      </c>
    </row>
    <row r="32" spans="1:6" x14ac:dyDescent="0.25">
      <c r="A32" s="6" t="s">
        <v>105</v>
      </c>
      <c r="B32" s="7">
        <v>30</v>
      </c>
      <c r="C32" s="6" t="s">
        <v>89</v>
      </c>
      <c r="D32" s="6" t="s">
        <v>76</v>
      </c>
      <c r="E32" s="6" t="s">
        <v>106</v>
      </c>
    </row>
    <row r="33" spans="1:5" ht="30" x14ac:dyDescent="0.25">
      <c r="A33" s="6" t="s">
        <v>107</v>
      </c>
      <c r="B33" s="8">
        <v>0.18</v>
      </c>
      <c r="C33" s="6" t="s">
        <v>79</v>
      </c>
      <c r="D33" s="6" t="s">
        <v>108</v>
      </c>
      <c r="E33" s="6" t="s">
        <v>109</v>
      </c>
    </row>
    <row r="34" spans="1:5" x14ac:dyDescent="0.25">
      <c r="A34" s="6"/>
      <c r="B34" s="7">
        <f>+((((B27*1000000)*B29)/1000000000)+(((B30*1000000)*B32)/1000000000))+(1*B33)</f>
        <v>0.51990000000000003</v>
      </c>
      <c r="C34" s="6"/>
      <c r="D34" s="6"/>
      <c r="E34" s="6"/>
    </row>
    <row r="35" spans="1:5" x14ac:dyDescent="0.25">
      <c r="A35" s="6" t="s">
        <v>288</v>
      </c>
      <c r="B35" s="8"/>
      <c r="C35" s="6"/>
      <c r="D35" s="6"/>
      <c r="E35" s="6"/>
    </row>
    <row r="36" spans="1:5" x14ac:dyDescent="0.25">
      <c r="A36" s="6" t="s">
        <v>110</v>
      </c>
      <c r="B36" s="7">
        <v>20</v>
      </c>
      <c r="C36" s="6" t="s">
        <v>94</v>
      </c>
      <c r="D36" s="6" t="s">
        <v>76</v>
      </c>
      <c r="E36" s="6" t="s">
        <v>111</v>
      </c>
    </row>
    <row r="37" spans="1:5" x14ac:dyDescent="0.25">
      <c r="A37" s="6" t="s">
        <v>112</v>
      </c>
      <c r="B37" s="8">
        <v>0.05</v>
      </c>
      <c r="C37" s="6" t="s">
        <v>79</v>
      </c>
      <c r="D37" s="6" t="s">
        <v>76</v>
      </c>
      <c r="E37" s="6" t="s">
        <v>113</v>
      </c>
    </row>
    <row r="38" spans="1:5" x14ac:dyDescent="0.25">
      <c r="A38" s="6" t="s">
        <v>114</v>
      </c>
      <c r="B38" s="7">
        <v>3.5</v>
      </c>
      <c r="C38" s="6" t="s">
        <v>99</v>
      </c>
      <c r="D38" s="6" t="s">
        <v>76</v>
      </c>
      <c r="E38" s="6" t="s">
        <v>115</v>
      </c>
    </row>
    <row r="39" spans="1:5" x14ac:dyDescent="0.25">
      <c r="A39" s="6" t="s">
        <v>116</v>
      </c>
      <c r="B39" s="8">
        <v>0.12</v>
      </c>
      <c r="C39" s="6" t="s">
        <v>79</v>
      </c>
      <c r="D39" s="6" t="s">
        <v>76</v>
      </c>
      <c r="E39" s="6" t="s">
        <v>117</v>
      </c>
    </row>
    <row r="40" spans="1:5" x14ac:dyDescent="0.25">
      <c r="A40" s="6"/>
      <c r="B40" s="8"/>
      <c r="C40" s="6"/>
      <c r="D40" s="6"/>
      <c r="E40" s="6"/>
    </row>
    <row r="41" spans="1:5" x14ac:dyDescent="0.25">
      <c r="A41" s="6" t="s">
        <v>289</v>
      </c>
      <c r="B41" s="8"/>
      <c r="C41" s="6"/>
      <c r="D41" s="6"/>
      <c r="E41" s="6"/>
    </row>
    <row r="42" spans="1:5" x14ac:dyDescent="0.25">
      <c r="A42" s="6" t="s">
        <v>118</v>
      </c>
      <c r="B42" s="7">
        <v>0.9</v>
      </c>
      <c r="C42" s="6" t="s">
        <v>119</v>
      </c>
      <c r="D42" s="6" t="s">
        <v>76</v>
      </c>
      <c r="E42" s="6" t="s">
        <v>120</v>
      </c>
    </row>
    <row r="43" spans="1:5" x14ac:dyDescent="0.25">
      <c r="A43" s="6" t="s">
        <v>121</v>
      </c>
      <c r="B43" s="8">
        <v>0.05</v>
      </c>
      <c r="C43" s="6" t="s">
        <v>79</v>
      </c>
      <c r="D43" s="6" t="s">
        <v>76</v>
      </c>
      <c r="E43" s="6" t="s">
        <v>122</v>
      </c>
    </row>
    <row r="44" spans="1:5" x14ac:dyDescent="0.25">
      <c r="A44" s="6" t="s">
        <v>123</v>
      </c>
      <c r="B44" s="7">
        <v>50</v>
      </c>
      <c r="C44" s="6" t="s">
        <v>124</v>
      </c>
      <c r="D44" s="6" t="s">
        <v>76</v>
      </c>
      <c r="E44" s="6" t="s">
        <v>125</v>
      </c>
    </row>
    <row r="45" spans="1:5" x14ac:dyDescent="0.25">
      <c r="A45" s="6" t="s">
        <v>126</v>
      </c>
      <c r="B45" s="8">
        <v>0.25</v>
      </c>
      <c r="C45" s="6" t="s">
        <v>79</v>
      </c>
      <c r="D45" s="6" t="s">
        <v>76</v>
      </c>
      <c r="E45" s="6" t="s">
        <v>127</v>
      </c>
    </row>
    <row r="46" spans="1:5" x14ac:dyDescent="0.25">
      <c r="A46" s="6"/>
      <c r="B46" s="8"/>
      <c r="C46" s="6"/>
      <c r="D46" s="6"/>
      <c r="E46" s="6"/>
    </row>
    <row r="47" spans="1:5" x14ac:dyDescent="0.25">
      <c r="A47" s="6" t="s">
        <v>169</v>
      </c>
      <c r="B47" s="8"/>
      <c r="C47" s="6"/>
      <c r="D47" s="6"/>
      <c r="E47" s="6"/>
    </row>
    <row r="48" spans="1:5" x14ac:dyDescent="0.25">
      <c r="A48" s="6" t="s">
        <v>128</v>
      </c>
      <c r="B48" s="8">
        <v>0.45</v>
      </c>
      <c r="C48" s="6" t="s">
        <v>79</v>
      </c>
      <c r="D48" s="6" t="s">
        <v>76</v>
      </c>
      <c r="E48" s="6" t="s">
        <v>129</v>
      </c>
    </row>
    <row r="49" spans="1:5" x14ac:dyDescent="0.25">
      <c r="A49" s="6" t="s">
        <v>130</v>
      </c>
      <c r="B49" s="8">
        <v>0.5</v>
      </c>
      <c r="C49" s="6" t="s">
        <v>79</v>
      </c>
      <c r="D49" s="6" t="s">
        <v>76</v>
      </c>
      <c r="E49" s="6" t="s">
        <v>129</v>
      </c>
    </row>
    <row r="50" spans="1:5" x14ac:dyDescent="0.25">
      <c r="A50" s="6" t="s">
        <v>131</v>
      </c>
      <c r="B50" s="8">
        <v>0.6</v>
      </c>
      <c r="C50" s="6" t="s">
        <v>79</v>
      </c>
      <c r="D50" s="6" t="s">
        <v>76</v>
      </c>
      <c r="E50" s="6" t="s">
        <v>132</v>
      </c>
    </row>
    <row r="51" spans="1:5" x14ac:dyDescent="0.25">
      <c r="A51" s="6" t="s">
        <v>133</v>
      </c>
      <c r="B51" s="8">
        <v>0.52</v>
      </c>
      <c r="C51" s="6" t="s">
        <v>79</v>
      </c>
      <c r="D51" s="6" t="s">
        <v>76</v>
      </c>
      <c r="E51" s="6" t="s">
        <v>134</v>
      </c>
    </row>
    <row r="52" spans="1:5" x14ac:dyDescent="0.25">
      <c r="A52" s="6" t="s">
        <v>135</v>
      </c>
      <c r="B52" s="8">
        <v>2.5000000000000001E-2</v>
      </c>
      <c r="C52" s="6" t="s">
        <v>79</v>
      </c>
      <c r="D52" s="6" t="s">
        <v>76</v>
      </c>
      <c r="E52" s="6" t="s">
        <v>136</v>
      </c>
    </row>
    <row r="53" spans="1:5" x14ac:dyDescent="0.25">
      <c r="A53" s="6" t="s">
        <v>137</v>
      </c>
      <c r="B53" s="8">
        <v>0.27</v>
      </c>
      <c r="C53" s="6" t="s">
        <v>79</v>
      </c>
      <c r="D53" s="6" t="s">
        <v>76</v>
      </c>
      <c r="E53" s="6" t="s">
        <v>138</v>
      </c>
    </row>
    <row r="54" spans="1:5" x14ac:dyDescent="0.25">
      <c r="A54" s="6" t="s">
        <v>139</v>
      </c>
      <c r="B54" s="8">
        <v>2.5000000000000001E-2</v>
      </c>
      <c r="C54" s="6" t="s">
        <v>79</v>
      </c>
      <c r="D54" s="6" t="s">
        <v>76</v>
      </c>
      <c r="E54" s="6" t="s">
        <v>140</v>
      </c>
    </row>
    <row r="55" spans="1:5" x14ac:dyDescent="0.25">
      <c r="A55" s="6" t="s">
        <v>141</v>
      </c>
      <c r="B55" s="8">
        <v>0.65</v>
      </c>
      <c r="C55" s="6" t="s">
        <v>79</v>
      </c>
      <c r="D55" s="6" t="s">
        <v>76</v>
      </c>
      <c r="E55" s="6" t="s">
        <v>142</v>
      </c>
    </row>
    <row r="56" spans="1:5" x14ac:dyDescent="0.25">
      <c r="A56" s="6" t="s">
        <v>143</v>
      </c>
      <c r="B56" s="8">
        <v>5.5E-2</v>
      </c>
      <c r="C56" s="6" t="s">
        <v>79</v>
      </c>
      <c r="D56" s="6" t="s">
        <v>76</v>
      </c>
      <c r="E56" s="6" t="s">
        <v>144</v>
      </c>
    </row>
    <row r="57" spans="1:5" x14ac:dyDescent="0.25">
      <c r="A57" s="6" t="s">
        <v>145</v>
      </c>
      <c r="B57" s="7">
        <v>25</v>
      </c>
      <c r="C57" s="6" t="s">
        <v>65</v>
      </c>
      <c r="D57" s="6" t="s">
        <v>76</v>
      </c>
      <c r="E57" s="6" t="s">
        <v>146</v>
      </c>
    </row>
    <row r="58" spans="1:5" x14ac:dyDescent="0.25">
      <c r="A58" s="6" t="s">
        <v>147</v>
      </c>
      <c r="B58" s="7">
        <v>7</v>
      </c>
      <c r="C58" s="6" t="s">
        <v>65</v>
      </c>
      <c r="D58" s="6" t="s">
        <v>76</v>
      </c>
      <c r="E58" s="6" t="s">
        <v>148</v>
      </c>
    </row>
    <row r="59" spans="1:5" x14ac:dyDescent="0.25">
      <c r="A59" s="6" t="s">
        <v>149</v>
      </c>
      <c r="B59" s="8">
        <v>8.5000000000000006E-2</v>
      </c>
      <c r="C59" s="6" t="s">
        <v>79</v>
      </c>
      <c r="D59" s="6" t="s">
        <v>76</v>
      </c>
      <c r="E59" s="6" t="s">
        <v>150</v>
      </c>
    </row>
    <row r="60" spans="1:5" x14ac:dyDescent="0.25">
      <c r="A60" s="6" t="s">
        <v>151</v>
      </c>
      <c r="B60" s="7">
        <v>16</v>
      </c>
      <c r="C60" s="6" t="s">
        <v>152</v>
      </c>
      <c r="D60" s="6" t="s">
        <v>76</v>
      </c>
      <c r="E60" s="6" t="s">
        <v>153</v>
      </c>
    </row>
    <row r="61" spans="1:5" x14ac:dyDescent="0.25">
      <c r="A61" s="6" t="s">
        <v>154</v>
      </c>
      <c r="B61" s="8">
        <v>0.15</v>
      </c>
      <c r="C61" s="6" t="s">
        <v>79</v>
      </c>
      <c r="D61" s="6" t="s">
        <v>76</v>
      </c>
      <c r="E61" s="6" t="s">
        <v>155</v>
      </c>
    </row>
    <row r="62" spans="1:5" x14ac:dyDescent="0.25">
      <c r="A62" s="6" t="s">
        <v>156</v>
      </c>
      <c r="B62" s="7">
        <v>1</v>
      </c>
      <c r="C62" s="6" t="s">
        <v>157</v>
      </c>
      <c r="D62" s="6" t="s">
        <v>158</v>
      </c>
      <c r="E62" s="6" t="s">
        <v>159</v>
      </c>
    </row>
    <row r="63" spans="1:5" x14ac:dyDescent="0.25">
      <c r="A63" s="6" t="s">
        <v>160</v>
      </c>
      <c r="B63" s="7">
        <v>0</v>
      </c>
      <c r="C63" s="6" t="s">
        <v>161</v>
      </c>
      <c r="D63" s="6" t="s">
        <v>162</v>
      </c>
      <c r="E63" s="6" t="s">
        <v>163</v>
      </c>
    </row>
    <row r="65" spans="1:1" x14ac:dyDescent="0.25">
      <c r="A65" s="30" t="s">
        <v>290</v>
      </c>
    </row>
  </sheetData>
  <sheetProtection sheet="1" objects="1" scenarios="1" password="9DEB" selectLockedCells="1" selectUnlockedCells="1"/>
  <mergeCells count="2">
    <mergeCell ref="A2:E2"/>
    <mergeCell ref="A1:E1"/>
  </mergeCells>
  <pageMargins left="0.75" right="0.75" top="1" bottom="1" header="0.5" footer="0.5"/>
  <pageSetup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showGridLines="0" zoomScale="115" zoomScaleNormal="115" workbookViewId="0">
      <selection activeCell="A12" sqref="A12"/>
    </sheetView>
  </sheetViews>
  <sheetFormatPr defaultRowHeight="15" x14ac:dyDescent="0.25"/>
  <cols>
    <col min="1" max="1" width="24" customWidth="1"/>
    <col min="2" max="5" width="14" customWidth="1"/>
    <col min="6" max="6" width="18" customWidth="1"/>
    <col min="7" max="7" width="20" customWidth="1"/>
    <col min="8" max="8" width="45" customWidth="1"/>
  </cols>
  <sheetData>
    <row r="1" spans="1:8" ht="21" x14ac:dyDescent="0.35">
      <c r="A1" s="33" t="s">
        <v>164</v>
      </c>
      <c r="B1" s="32"/>
      <c r="C1" s="32"/>
      <c r="D1" s="32"/>
      <c r="E1" s="32"/>
      <c r="F1" s="32"/>
      <c r="G1" s="32"/>
      <c r="H1" s="32"/>
    </row>
    <row r="2" spans="1:8" x14ac:dyDescent="0.25">
      <c r="A2" s="31" t="s">
        <v>165</v>
      </c>
      <c r="B2" s="32"/>
      <c r="C2" s="32"/>
      <c r="D2" s="32"/>
      <c r="E2" s="32"/>
      <c r="F2" s="32"/>
      <c r="G2" s="32"/>
      <c r="H2" s="32"/>
    </row>
    <row r="4" spans="1:8" x14ac:dyDescent="0.25">
      <c r="A4" s="21" t="s">
        <v>166</v>
      </c>
      <c r="B4" s="21" t="s">
        <v>167</v>
      </c>
      <c r="C4" s="21" t="s">
        <v>168</v>
      </c>
      <c r="D4" s="21" t="s">
        <v>169</v>
      </c>
      <c r="E4" s="21" t="s">
        <v>170</v>
      </c>
      <c r="F4" s="21" t="s">
        <v>171</v>
      </c>
      <c r="G4" s="21" t="s">
        <v>172</v>
      </c>
      <c r="H4" s="21" t="s">
        <v>173</v>
      </c>
    </row>
    <row r="5" spans="1:8" x14ac:dyDescent="0.25">
      <c r="A5" s="2" t="s">
        <v>174</v>
      </c>
      <c r="B5" s="16">
        <v>0.75</v>
      </c>
      <c r="C5" s="16">
        <v>0.95</v>
      </c>
      <c r="D5" s="16">
        <v>1.08</v>
      </c>
      <c r="E5" s="16">
        <v>1.1499999999999999</v>
      </c>
      <c r="F5" s="2">
        <v>11</v>
      </c>
      <c r="G5" s="2">
        <v>0</v>
      </c>
      <c r="H5" s="2" t="s">
        <v>175</v>
      </c>
    </row>
    <row r="6" spans="1:8" x14ac:dyDescent="0.25">
      <c r="A6" s="2" t="s">
        <v>176</v>
      </c>
      <c r="B6" s="16">
        <v>1</v>
      </c>
      <c r="C6" s="16">
        <v>1</v>
      </c>
      <c r="D6" s="16">
        <v>1</v>
      </c>
      <c r="E6" s="16">
        <v>1</v>
      </c>
      <c r="F6" s="2">
        <v>14</v>
      </c>
      <c r="G6" s="2">
        <v>0</v>
      </c>
      <c r="H6" s="2" t="s">
        <v>177</v>
      </c>
    </row>
    <row r="7" spans="1:8" x14ac:dyDescent="0.25">
      <c r="A7" s="2" t="s">
        <v>178</v>
      </c>
      <c r="B7" s="16">
        <v>1.2</v>
      </c>
      <c r="C7" s="16">
        <v>1.05</v>
      </c>
      <c r="D7" s="16">
        <v>0.95</v>
      </c>
      <c r="E7" s="16">
        <v>0.95</v>
      </c>
      <c r="F7" s="2">
        <v>16</v>
      </c>
      <c r="G7" s="2">
        <v>0</v>
      </c>
      <c r="H7" s="2" t="s">
        <v>179</v>
      </c>
    </row>
    <row r="10" spans="1:8" x14ac:dyDescent="0.25">
      <c r="A10" s="4" t="s">
        <v>180</v>
      </c>
      <c r="B10" s="10" t="s">
        <v>176</v>
      </c>
    </row>
    <row r="12" spans="1:8" x14ac:dyDescent="0.25">
      <c r="A12" s="30" t="s">
        <v>290</v>
      </c>
    </row>
  </sheetData>
  <sheetProtection sheet="1" objects="1" scenarios="1" password="9DEB" selectLockedCells="1" selectUnlockedCells="1"/>
  <mergeCells count="2">
    <mergeCell ref="A2:H2"/>
    <mergeCell ref="A1:H1"/>
  </mergeCells>
  <dataValidations disablePrompts="1" count="1">
    <dataValidation type="list" sqref="B10" xr:uid="{00000000-0002-0000-0300-000000000000}">
      <formula1>"Downside,Base / Investment Case,Upside"</formula1>
    </dataValidation>
  </dataValidations>
  <pageMargins left="0.75" right="0.75" top="1" bottom="1" header="0.5" footer="0.5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8"/>
  <sheetViews>
    <sheetView showGridLines="0" workbookViewId="0">
      <pane ySplit="4" topLeftCell="A5" activePane="bottomLeft" state="frozen"/>
      <selection pane="bottomLeft" activeCell="A28" sqref="A28"/>
    </sheetView>
  </sheetViews>
  <sheetFormatPr defaultRowHeight="15" x14ac:dyDescent="0.25"/>
  <cols>
    <col min="1" max="1" width="9" customWidth="1"/>
    <col min="2" max="2" width="18" customWidth="1"/>
    <col min="3" max="3" width="14" customWidth="1"/>
    <col min="4" max="4" width="18" customWidth="1"/>
    <col min="5" max="6" width="14" customWidth="1"/>
    <col min="7" max="7" width="16" customWidth="1"/>
    <col min="8" max="8" width="18" customWidth="1"/>
    <col min="9" max="9" width="30" customWidth="1"/>
  </cols>
  <sheetData>
    <row r="1" spans="1:9" ht="21" x14ac:dyDescent="0.35">
      <c r="A1" s="33" t="s">
        <v>181</v>
      </c>
      <c r="B1" s="32"/>
      <c r="C1" s="32"/>
      <c r="D1" s="32"/>
      <c r="E1" s="32"/>
      <c r="F1" s="32"/>
      <c r="G1" s="32"/>
      <c r="H1" s="32"/>
      <c r="I1" s="32"/>
    </row>
    <row r="2" spans="1:9" x14ac:dyDescent="0.25">
      <c r="A2" s="31" t="s">
        <v>182</v>
      </c>
      <c r="B2" s="32"/>
      <c r="C2" s="32"/>
      <c r="D2" s="32"/>
      <c r="E2" s="32"/>
      <c r="F2" s="32"/>
      <c r="G2" s="32"/>
      <c r="H2" s="32"/>
      <c r="I2" s="32"/>
    </row>
    <row r="4" spans="1:9" x14ac:dyDescent="0.25">
      <c r="A4" s="21" t="s">
        <v>31</v>
      </c>
      <c r="B4" s="21" t="s">
        <v>32</v>
      </c>
      <c r="C4" s="21" t="s">
        <v>17</v>
      </c>
      <c r="D4" s="21" t="s">
        <v>33</v>
      </c>
      <c r="E4" s="21" t="s">
        <v>23</v>
      </c>
      <c r="F4" s="21" t="s">
        <v>25</v>
      </c>
      <c r="G4" s="21" t="s">
        <v>35</v>
      </c>
      <c r="H4" s="21" t="s">
        <v>183</v>
      </c>
      <c r="I4" s="21" t="s">
        <v>184</v>
      </c>
    </row>
    <row r="5" spans="1:9" x14ac:dyDescent="0.25">
      <c r="A5" s="2">
        <v>0</v>
      </c>
      <c r="B5" s="3">
        <v>0.125</v>
      </c>
      <c r="C5" s="3">
        <v>0</v>
      </c>
      <c r="D5" s="3">
        <v>0</v>
      </c>
      <c r="E5" s="3">
        <v>0</v>
      </c>
      <c r="F5" s="3">
        <v>0</v>
      </c>
      <c r="G5" s="11">
        <f t="shared" ref="G5:G25" si="0">SUM(B5:F5)</f>
        <v>0.125</v>
      </c>
      <c r="H5" s="11">
        <f>G5</f>
        <v>0.125</v>
      </c>
      <c r="I5" s="2" t="s">
        <v>38</v>
      </c>
    </row>
    <row r="6" spans="1:9" x14ac:dyDescent="0.25">
      <c r="A6" s="2">
        <v>1</v>
      </c>
      <c r="B6" s="3">
        <v>0</v>
      </c>
      <c r="C6" s="3">
        <v>0.65</v>
      </c>
      <c r="D6" s="3">
        <v>1.285714285714286</v>
      </c>
      <c r="E6" s="3">
        <v>0.4</v>
      </c>
      <c r="F6" s="3">
        <v>0.14285714285714279</v>
      </c>
      <c r="G6" s="11">
        <f t="shared" si="0"/>
        <v>2.4785714285714286</v>
      </c>
      <c r="H6" s="11">
        <f t="shared" ref="H6:H25" si="1">H5+G6</f>
        <v>2.6035714285714286</v>
      </c>
      <c r="I6" s="2" t="s">
        <v>39</v>
      </c>
    </row>
    <row r="7" spans="1:9" x14ac:dyDescent="0.25">
      <c r="A7" s="2">
        <v>2</v>
      </c>
      <c r="B7" s="3">
        <v>0</v>
      </c>
      <c r="C7" s="3">
        <v>0.65</v>
      </c>
      <c r="D7" s="3">
        <v>1.285714285714286</v>
      </c>
      <c r="E7" s="3">
        <v>0.4</v>
      </c>
      <c r="F7" s="3">
        <v>0.14285714285714279</v>
      </c>
      <c r="G7" s="11">
        <f t="shared" si="0"/>
        <v>2.4785714285714286</v>
      </c>
      <c r="H7" s="11">
        <f t="shared" si="1"/>
        <v>5.0821428571428573</v>
      </c>
      <c r="I7" s="2" t="s">
        <v>39</v>
      </c>
    </row>
    <row r="8" spans="1:9" x14ac:dyDescent="0.25">
      <c r="A8" s="2">
        <v>3</v>
      </c>
      <c r="B8" s="3">
        <v>0</v>
      </c>
      <c r="C8" s="3">
        <v>0.65</v>
      </c>
      <c r="D8" s="3">
        <v>1.285714285714286</v>
      </c>
      <c r="E8" s="3">
        <v>0.4</v>
      </c>
      <c r="F8" s="3">
        <v>0.14285714285714279</v>
      </c>
      <c r="G8" s="11">
        <f t="shared" si="0"/>
        <v>2.4785714285714286</v>
      </c>
      <c r="H8" s="11">
        <f t="shared" si="1"/>
        <v>7.5607142857142859</v>
      </c>
      <c r="I8" s="2" t="s">
        <v>39</v>
      </c>
    </row>
    <row r="9" spans="1:9" x14ac:dyDescent="0.25">
      <c r="A9" s="2">
        <v>4</v>
      </c>
      <c r="B9" s="3">
        <v>0</v>
      </c>
      <c r="C9" s="3">
        <v>0.65</v>
      </c>
      <c r="D9" s="3">
        <v>1.285714285714286</v>
      </c>
      <c r="E9" s="3">
        <v>0.4</v>
      </c>
      <c r="F9" s="3">
        <v>0.14285714285714279</v>
      </c>
      <c r="G9" s="11">
        <f t="shared" si="0"/>
        <v>2.4785714285714286</v>
      </c>
      <c r="H9" s="11">
        <f t="shared" si="1"/>
        <v>10.039285714285715</v>
      </c>
      <c r="I9" s="2" t="s">
        <v>39</v>
      </c>
    </row>
    <row r="10" spans="1:9" x14ac:dyDescent="0.25">
      <c r="A10" s="2">
        <v>5</v>
      </c>
      <c r="B10" s="3">
        <v>0</v>
      </c>
      <c r="C10" s="3">
        <v>0.65</v>
      </c>
      <c r="D10" s="3">
        <v>1.285714285714286</v>
      </c>
      <c r="E10" s="3">
        <v>0.4</v>
      </c>
      <c r="F10" s="3">
        <v>0.14285714285714279</v>
      </c>
      <c r="G10" s="11">
        <f t="shared" si="0"/>
        <v>2.4785714285714286</v>
      </c>
      <c r="H10" s="11">
        <f t="shared" si="1"/>
        <v>12.517857142857142</v>
      </c>
      <c r="I10" s="2" t="s">
        <v>39</v>
      </c>
    </row>
    <row r="11" spans="1:9" x14ac:dyDescent="0.25">
      <c r="A11" s="2">
        <v>6</v>
      </c>
      <c r="B11" s="3">
        <v>0</v>
      </c>
      <c r="C11" s="3">
        <v>0.65</v>
      </c>
      <c r="D11" s="3">
        <v>1.285714285714286</v>
      </c>
      <c r="E11" s="3">
        <v>0</v>
      </c>
      <c r="F11" s="3">
        <v>0.14285714285714279</v>
      </c>
      <c r="G11" s="11">
        <f t="shared" si="0"/>
        <v>2.0785714285714287</v>
      </c>
      <c r="H11" s="11">
        <f t="shared" si="1"/>
        <v>14.596428571428572</v>
      </c>
      <c r="I11" s="2" t="s">
        <v>40</v>
      </c>
    </row>
    <row r="12" spans="1:9" x14ac:dyDescent="0.25">
      <c r="A12" s="2">
        <v>7</v>
      </c>
      <c r="B12" s="3">
        <v>0</v>
      </c>
      <c r="C12" s="3">
        <v>0.65</v>
      </c>
      <c r="D12" s="3">
        <v>1.285714285714286</v>
      </c>
      <c r="E12" s="3">
        <v>0</v>
      </c>
      <c r="F12" s="3">
        <v>0.14285714285714279</v>
      </c>
      <c r="G12" s="11">
        <f t="shared" si="0"/>
        <v>2.0785714285714287</v>
      </c>
      <c r="H12" s="11">
        <f t="shared" si="1"/>
        <v>16.675000000000001</v>
      </c>
      <c r="I12" s="2" t="s">
        <v>40</v>
      </c>
    </row>
    <row r="13" spans="1:9" x14ac:dyDescent="0.25">
      <c r="A13" s="2">
        <v>8</v>
      </c>
      <c r="B13" s="3">
        <v>0</v>
      </c>
      <c r="C13" s="3">
        <v>0.65</v>
      </c>
      <c r="D13" s="3">
        <v>0</v>
      </c>
      <c r="E13" s="3">
        <v>0</v>
      </c>
      <c r="F13" s="3">
        <v>0</v>
      </c>
      <c r="G13" s="11">
        <f t="shared" si="0"/>
        <v>0.65</v>
      </c>
      <c r="H13" s="11">
        <f t="shared" si="1"/>
        <v>17.324999999999999</v>
      </c>
      <c r="I13" s="2" t="s">
        <v>40</v>
      </c>
    </row>
    <row r="14" spans="1:9" x14ac:dyDescent="0.25">
      <c r="A14" s="2">
        <v>9</v>
      </c>
      <c r="B14" s="3">
        <v>0</v>
      </c>
      <c r="C14" s="3">
        <v>0.65</v>
      </c>
      <c r="D14" s="3">
        <v>0</v>
      </c>
      <c r="E14" s="3">
        <v>0</v>
      </c>
      <c r="F14" s="3">
        <v>0</v>
      </c>
      <c r="G14" s="11">
        <f t="shared" si="0"/>
        <v>0.65</v>
      </c>
      <c r="H14" s="11">
        <f t="shared" si="1"/>
        <v>17.974999999999998</v>
      </c>
      <c r="I14" s="2" t="s">
        <v>40</v>
      </c>
    </row>
    <row r="15" spans="1:9" x14ac:dyDescent="0.25">
      <c r="A15" s="2">
        <v>10</v>
      </c>
      <c r="B15" s="3">
        <v>0</v>
      </c>
      <c r="C15" s="3">
        <v>0.65</v>
      </c>
      <c r="D15" s="3">
        <v>0</v>
      </c>
      <c r="E15" s="3">
        <v>0</v>
      </c>
      <c r="F15" s="3">
        <v>0</v>
      </c>
      <c r="G15" s="11">
        <f t="shared" si="0"/>
        <v>0.65</v>
      </c>
      <c r="H15" s="11">
        <f t="shared" si="1"/>
        <v>18.624999999999996</v>
      </c>
      <c r="I15" s="2" t="s">
        <v>40</v>
      </c>
    </row>
    <row r="16" spans="1:9" x14ac:dyDescent="0.25">
      <c r="A16" s="2">
        <v>11</v>
      </c>
      <c r="B16" s="3">
        <v>0</v>
      </c>
      <c r="C16" s="3">
        <v>0.65</v>
      </c>
      <c r="D16" s="3">
        <v>0</v>
      </c>
      <c r="E16" s="3">
        <v>0</v>
      </c>
      <c r="F16" s="3">
        <v>0</v>
      </c>
      <c r="G16" s="11">
        <f t="shared" si="0"/>
        <v>0.65</v>
      </c>
      <c r="H16" s="11">
        <f t="shared" si="1"/>
        <v>19.274999999999995</v>
      </c>
      <c r="I16" s="2" t="s">
        <v>41</v>
      </c>
    </row>
    <row r="17" spans="1:9" x14ac:dyDescent="0.25">
      <c r="A17" s="2">
        <v>12</v>
      </c>
      <c r="B17" s="3">
        <v>0</v>
      </c>
      <c r="C17" s="3">
        <v>0.65</v>
      </c>
      <c r="D17" s="3">
        <v>0</v>
      </c>
      <c r="E17" s="3">
        <v>0</v>
      </c>
      <c r="F17" s="3">
        <v>0</v>
      </c>
      <c r="G17" s="11">
        <f t="shared" si="0"/>
        <v>0.65</v>
      </c>
      <c r="H17" s="11">
        <f t="shared" si="1"/>
        <v>19.924999999999994</v>
      </c>
      <c r="I17" s="2" t="s">
        <v>41</v>
      </c>
    </row>
    <row r="18" spans="1:9" x14ac:dyDescent="0.25">
      <c r="A18" s="2">
        <v>13</v>
      </c>
      <c r="B18" s="3">
        <v>0</v>
      </c>
      <c r="C18" s="3">
        <v>0.65</v>
      </c>
      <c r="D18" s="3">
        <v>0</v>
      </c>
      <c r="E18" s="3">
        <v>0</v>
      </c>
      <c r="F18" s="3">
        <v>0</v>
      </c>
      <c r="G18" s="11">
        <f t="shared" si="0"/>
        <v>0.65</v>
      </c>
      <c r="H18" s="11">
        <f t="shared" si="1"/>
        <v>20.574999999999992</v>
      </c>
      <c r="I18" s="2" t="s">
        <v>41</v>
      </c>
    </row>
    <row r="19" spans="1:9" x14ac:dyDescent="0.25">
      <c r="A19" s="2">
        <v>14</v>
      </c>
      <c r="B19" s="3">
        <v>0</v>
      </c>
      <c r="C19" s="3">
        <v>0.65</v>
      </c>
      <c r="D19" s="3">
        <v>0</v>
      </c>
      <c r="E19" s="3">
        <v>0</v>
      </c>
      <c r="F19" s="3">
        <v>0</v>
      </c>
      <c r="G19" s="11">
        <f t="shared" si="0"/>
        <v>0.65</v>
      </c>
      <c r="H19" s="11">
        <f t="shared" si="1"/>
        <v>21.224999999999991</v>
      </c>
      <c r="I19" s="2" t="s">
        <v>41</v>
      </c>
    </row>
    <row r="20" spans="1:9" x14ac:dyDescent="0.25">
      <c r="A20" s="2">
        <v>15</v>
      </c>
      <c r="B20" s="3">
        <v>0</v>
      </c>
      <c r="C20" s="3">
        <v>0.65</v>
      </c>
      <c r="D20" s="3">
        <v>0</v>
      </c>
      <c r="E20" s="3">
        <v>0</v>
      </c>
      <c r="F20" s="3">
        <v>0</v>
      </c>
      <c r="G20" s="11">
        <f t="shared" si="0"/>
        <v>0.65</v>
      </c>
      <c r="H20" s="11">
        <f t="shared" si="1"/>
        <v>21.874999999999989</v>
      </c>
      <c r="I20" s="2" t="s">
        <v>41</v>
      </c>
    </row>
    <row r="21" spans="1:9" x14ac:dyDescent="0.25">
      <c r="A21" s="2">
        <v>16</v>
      </c>
      <c r="B21" s="3">
        <v>0</v>
      </c>
      <c r="C21" s="3">
        <v>0.65</v>
      </c>
      <c r="D21" s="3">
        <v>0</v>
      </c>
      <c r="E21" s="3">
        <v>0</v>
      </c>
      <c r="F21" s="3">
        <v>0</v>
      </c>
      <c r="G21" s="11">
        <f t="shared" si="0"/>
        <v>0.65</v>
      </c>
      <c r="H21" s="11">
        <f t="shared" si="1"/>
        <v>22.524999999999988</v>
      </c>
      <c r="I21" s="2" t="s">
        <v>42</v>
      </c>
    </row>
    <row r="22" spans="1:9" x14ac:dyDescent="0.25">
      <c r="A22" s="2">
        <v>17</v>
      </c>
      <c r="B22" s="3">
        <v>0</v>
      </c>
      <c r="C22" s="3">
        <v>0.65</v>
      </c>
      <c r="D22" s="3">
        <v>0</v>
      </c>
      <c r="E22" s="3">
        <v>0</v>
      </c>
      <c r="F22" s="3">
        <v>0</v>
      </c>
      <c r="G22" s="11">
        <f t="shared" si="0"/>
        <v>0.65</v>
      </c>
      <c r="H22" s="11">
        <f t="shared" si="1"/>
        <v>23.174999999999986</v>
      </c>
      <c r="I22" s="2" t="s">
        <v>42</v>
      </c>
    </row>
    <row r="23" spans="1:9" x14ac:dyDescent="0.25">
      <c r="A23" s="2">
        <v>18</v>
      </c>
      <c r="B23" s="3">
        <v>0</v>
      </c>
      <c r="C23" s="3">
        <v>0.65</v>
      </c>
      <c r="D23" s="3">
        <v>0</v>
      </c>
      <c r="E23" s="3">
        <v>0</v>
      </c>
      <c r="F23" s="3">
        <v>0</v>
      </c>
      <c r="G23" s="11">
        <f t="shared" si="0"/>
        <v>0.65</v>
      </c>
      <c r="H23" s="11">
        <f t="shared" si="1"/>
        <v>23.824999999999985</v>
      </c>
      <c r="I23" s="2" t="s">
        <v>42</v>
      </c>
    </row>
    <row r="24" spans="1:9" x14ac:dyDescent="0.25">
      <c r="A24" s="2">
        <v>19</v>
      </c>
      <c r="B24" s="3">
        <v>0</v>
      </c>
      <c r="C24" s="3">
        <v>0.65</v>
      </c>
      <c r="D24" s="3">
        <v>0</v>
      </c>
      <c r="E24" s="3">
        <v>0</v>
      </c>
      <c r="F24" s="3">
        <v>0</v>
      </c>
      <c r="G24" s="11">
        <f t="shared" si="0"/>
        <v>0.65</v>
      </c>
      <c r="H24" s="11">
        <f t="shared" si="1"/>
        <v>24.474999999999984</v>
      </c>
      <c r="I24" s="2" t="s">
        <v>42</v>
      </c>
    </row>
    <row r="25" spans="1:9" x14ac:dyDescent="0.25">
      <c r="A25" s="2">
        <v>20</v>
      </c>
      <c r="B25" s="3">
        <v>0</v>
      </c>
      <c r="C25" s="3">
        <v>0.65</v>
      </c>
      <c r="D25" s="3">
        <v>0</v>
      </c>
      <c r="E25" s="3">
        <v>0</v>
      </c>
      <c r="F25" s="3">
        <v>0</v>
      </c>
      <c r="G25" s="11">
        <f t="shared" si="0"/>
        <v>0.65</v>
      </c>
      <c r="H25" s="11">
        <f t="shared" si="1"/>
        <v>25.124999999999982</v>
      </c>
      <c r="I25" s="2" t="s">
        <v>42</v>
      </c>
    </row>
    <row r="26" spans="1:9" x14ac:dyDescent="0.25">
      <c r="A26" s="4" t="s">
        <v>43</v>
      </c>
      <c r="B26" s="12">
        <f t="shared" ref="B26:G26" si="2">SUM(B5:B25)</f>
        <v>0.125</v>
      </c>
      <c r="C26" s="12">
        <f t="shared" si="2"/>
        <v>13.000000000000004</v>
      </c>
      <c r="D26" s="12">
        <f t="shared" si="2"/>
        <v>9.0000000000000036</v>
      </c>
      <c r="E26" s="12">
        <f t="shared" si="2"/>
        <v>2</v>
      </c>
      <c r="F26" s="12">
        <f t="shared" si="2"/>
        <v>0.99999999999999956</v>
      </c>
      <c r="G26" s="12">
        <f t="shared" si="2"/>
        <v>25.124999999999982</v>
      </c>
      <c r="H26" s="12"/>
    </row>
    <row r="28" spans="1:9" x14ac:dyDescent="0.25">
      <c r="A28" s="30" t="s">
        <v>290</v>
      </c>
    </row>
  </sheetData>
  <sheetProtection sheet="1" objects="1" scenarios="1" password="9DEB" selectLockedCells="1" selectUnlockedCells="1"/>
  <mergeCells count="2">
    <mergeCell ref="A1:I1"/>
    <mergeCell ref="A2:I2"/>
  </mergeCells>
  <pageMargins left="0.75" right="0.75" top="1" bottom="1" header="0.5" footer="0.5"/>
  <pageSetup fitToHeight="0" orientation="landscape"/>
  <ignoredErrors>
    <ignoredError sqref="G5:G25" formulaRange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8"/>
  <sheetViews>
    <sheetView showGridLines="0" zoomScaleNormal="100" workbookViewId="0">
      <selection activeCell="A28" sqref="A28"/>
    </sheetView>
  </sheetViews>
  <sheetFormatPr defaultRowHeight="15" x14ac:dyDescent="0.25"/>
  <cols>
    <col min="1" max="1" width="9" customWidth="1"/>
    <col min="2" max="2" width="18" customWidth="1"/>
    <col min="3" max="13" width="16" customWidth="1"/>
  </cols>
  <sheetData>
    <row r="1" spans="1:13" ht="21" x14ac:dyDescent="0.35">
      <c r="A1" s="33" t="s">
        <v>185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31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x14ac:dyDescent="0.25">
      <c r="B3" s="28">
        <f>+Inputs!B19</f>
        <v>0.08</v>
      </c>
      <c r="G3" s="27">
        <f>+Inputs!B48</f>
        <v>0.45</v>
      </c>
    </row>
    <row r="4" spans="1:13" x14ac:dyDescent="0.25">
      <c r="A4" s="21" t="s">
        <v>31</v>
      </c>
      <c r="B4" s="21" t="s">
        <v>187</v>
      </c>
      <c r="C4" s="21" t="s">
        <v>188</v>
      </c>
      <c r="D4" s="21" t="s">
        <v>189</v>
      </c>
      <c r="E4" s="21" t="s">
        <v>190</v>
      </c>
      <c r="F4" s="21" t="s">
        <v>191</v>
      </c>
      <c r="G4" s="21" t="s">
        <v>192</v>
      </c>
      <c r="H4" s="21" t="s">
        <v>193</v>
      </c>
      <c r="I4" s="21" t="s">
        <v>194</v>
      </c>
      <c r="J4" s="21" t="s">
        <v>195</v>
      </c>
      <c r="K4" s="21" t="s">
        <v>196</v>
      </c>
      <c r="L4" s="21" t="s">
        <v>197</v>
      </c>
      <c r="M4" s="21" t="s">
        <v>198</v>
      </c>
    </row>
    <row r="5" spans="1:13" x14ac:dyDescent="0.25">
      <c r="A5" s="2">
        <v>0</v>
      </c>
      <c r="B5" s="3">
        <v>0</v>
      </c>
      <c r="C5" s="3">
        <v>0</v>
      </c>
      <c r="D5" s="3">
        <v>0</v>
      </c>
      <c r="E5" s="3">
        <v>0</v>
      </c>
      <c r="F5" s="24">
        <f t="shared" ref="F5:F25" si="0">SUM(B5:E5)</f>
        <v>0</v>
      </c>
      <c r="G5" s="3">
        <f t="shared" ref="G5" si="1">B5*0.45</f>
        <v>0</v>
      </c>
      <c r="H5" s="3">
        <f t="shared" ref="H5:H25" si="2">C5*0.5</f>
        <v>0</v>
      </c>
      <c r="I5" s="3">
        <f t="shared" ref="I5:I25" si="3">D5*0.6</f>
        <v>0</v>
      </c>
      <c r="J5" s="3">
        <f t="shared" ref="J5:J25" si="4">E5*0.52</f>
        <v>0</v>
      </c>
      <c r="K5" s="24">
        <f t="shared" ref="K5:K25" si="5">SUM(G5:J5)</f>
        <v>0</v>
      </c>
      <c r="L5" s="3">
        <f t="shared" ref="L5:L25" si="6">F5-K5</f>
        <v>0</v>
      </c>
      <c r="M5" s="22" t="str">
        <f t="shared" ref="M5:M25" si="7">IF(F5&gt;0,L5/F5,"")</f>
        <v/>
      </c>
    </row>
    <row r="6" spans="1:13" x14ac:dyDescent="0.25">
      <c r="A6" s="2">
        <v>1</v>
      </c>
      <c r="B6" s="3">
        <v>0.99</v>
      </c>
      <c r="C6" s="3">
        <v>0.52037999999999995</v>
      </c>
      <c r="D6" s="3">
        <v>7.8400000000000011E-2</v>
      </c>
      <c r="E6" s="3">
        <v>5.6249999999999988E-2</v>
      </c>
      <c r="F6" s="24">
        <f>SUM(B6:E6)</f>
        <v>1.64503</v>
      </c>
      <c r="G6" s="3">
        <f t="shared" ref="G6:G25" si="8">B6*$G$3</f>
        <v>0.44550000000000001</v>
      </c>
      <c r="H6" s="3">
        <f t="shared" si="2"/>
        <v>0.26018999999999998</v>
      </c>
      <c r="I6" s="3">
        <f t="shared" si="3"/>
        <v>4.7040000000000005E-2</v>
      </c>
      <c r="J6" s="3">
        <f t="shared" si="4"/>
        <v>2.9249999999999995E-2</v>
      </c>
      <c r="K6" s="24">
        <f t="shared" si="5"/>
        <v>0.7819799999999999</v>
      </c>
      <c r="L6" s="3">
        <f t="shared" si="6"/>
        <v>0.86305000000000009</v>
      </c>
      <c r="M6" s="22">
        <f t="shared" si="7"/>
        <v>0.52464088800812148</v>
      </c>
    </row>
    <row r="7" spans="1:13" x14ac:dyDescent="0.25">
      <c r="A7" s="2">
        <v>2</v>
      </c>
      <c r="B7" s="3">
        <f>+B6+$B$3</f>
        <v>1.07</v>
      </c>
      <c r="C7" s="3">
        <v>0.55160280000000006</v>
      </c>
      <c r="D7" s="3">
        <v>8.2320000000000004E-2</v>
      </c>
      <c r="E7" s="3">
        <v>5.9062499999999997E-2</v>
      </c>
      <c r="F7" s="24">
        <f t="shared" si="0"/>
        <v>1.7629853000000002</v>
      </c>
      <c r="G7" s="3">
        <f t="shared" si="8"/>
        <v>0.48150000000000004</v>
      </c>
      <c r="H7" s="3">
        <f t="shared" si="2"/>
        <v>0.27580140000000003</v>
      </c>
      <c r="I7" s="3">
        <f t="shared" si="3"/>
        <v>4.9391999999999998E-2</v>
      </c>
      <c r="J7" s="3">
        <f t="shared" si="4"/>
        <v>3.07125E-2</v>
      </c>
      <c r="K7" s="24">
        <f t="shared" si="5"/>
        <v>0.83740590000000004</v>
      </c>
      <c r="L7" s="3">
        <f t="shared" si="6"/>
        <v>0.92557940000000016</v>
      </c>
      <c r="M7" s="22">
        <f t="shared" si="7"/>
        <v>0.52500687328476314</v>
      </c>
    </row>
    <row r="8" spans="1:13" x14ac:dyDescent="0.25">
      <c r="A8" s="2">
        <v>3</v>
      </c>
      <c r="B8" s="3">
        <f>+B7+$B$3</f>
        <v>1.1500000000000001</v>
      </c>
      <c r="C8" s="3">
        <v>0.5846989680000001</v>
      </c>
      <c r="D8" s="3">
        <v>8.6435999999999999E-2</v>
      </c>
      <c r="E8" s="3">
        <v>6.2015624999999998E-2</v>
      </c>
      <c r="F8" s="24">
        <f t="shared" si="0"/>
        <v>1.8831505930000001</v>
      </c>
      <c r="G8" s="3">
        <f t="shared" si="8"/>
        <v>0.51750000000000007</v>
      </c>
      <c r="H8" s="3">
        <f t="shared" si="2"/>
        <v>0.29234948400000005</v>
      </c>
      <c r="I8" s="3">
        <f t="shared" si="3"/>
        <v>5.1861600000000001E-2</v>
      </c>
      <c r="J8" s="3">
        <f t="shared" si="4"/>
        <v>3.2248125000000002E-2</v>
      </c>
      <c r="K8" s="24">
        <f t="shared" si="5"/>
        <v>0.89395920900000003</v>
      </c>
      <c r="L8" s="3">
        <f t="shared" si="6"/>
        <v>0.98919138400000006</v>
      </c>
      <c r="M8" s="22">
        <f t="shared" si="7"/>
        <v>0.52528533176103775</v>
      </c>
    </row>
    <row r="9" spans="1:13" x14ac:dyDescent="0.25">
      <c r="A9" s="2">
        <v>4</v>
      </c>
      <c r="B9" s="3">
        <f>+B8+$B$3</f>
        <v>1.2300000000000002</v>
      </c>
      <c r="C9" s="3">
        <v>0.61978090607999992</v>
      </c>
      <c r="D9" s="3">
        <v>9.0757800000000027E-2</v>
      </c>
      <c r="E9" s="3">
        <v>6.5116406250000008E-2</v>
      </c>
      <c r="F9" s="24">
        <f t="shared" si="0"/>
        <v>2.0056551123299999</v>
      </c>
      <c r="G9" s="3">
        <f t="shared" si="8"/>
        <v>0.5535000000000001</v>
      </c>
      <c r="H9" s="3">
        <f t="shared" si="2"/>
        <v>0.30989045303999996</v>
      </c>
      <c r="I9" s="3">
        <f t="shared" si="3"/>
        <v>5.4454680000000012E-2</v>
      </c>
      <c r="J9" s="3">
        <f t="shared" si="4"/>
        <v>3.3860531250000006E-2</v>
      </c>
      <c r="K9" s="24">
        <f t="shared" si="5"/>
        <v>0.95170566429000003</v>
      </c>
      <c r="L9" s="3">
        <f t="shared" si="6"/>
        <v>1.05394944804</v>
      </c>
      <c r="M9" s="22">
        <f t="shared" si="7"/>
        <v>0.52548887471266736</v>
      </c>
    </row>
    <row r="10" spans="1:13" x14ac:dyDescent="0.25">
      <c r="A10" s="2">
        <v>5</v>
      </c>
      <c r="B10" s="3">
        <f>+B9+$B$3</f>
        <v>1.3100000000000003</v>
      </c>
      <c r="C10" s="3">
        <v>0.6569677604448001</v>
      </c>
      <c r="D10" s="3">
        <v>9.5295690000000044E-2</v>
      </c>
      <c r="E10" s="3">
        <v>6.8372226562500013E-2</v>
      </c>
      <c r="F10" s="24">
        <f t="shared" si="0"/>
        <v>2.1306356770073003</v>
      </c>
      <c r="G10" s="3">
        <f t="shared" si="8"/>
        <v>0.58950000000000014</v>
      </c>
      <c r="H10" s="3">
        <f t="shared" si="2"/>
        <v>0.32848388022240005</v>
      </c>
      <c r="I10" s="3">
        <f t="shared" si="3"/>
        <v>5.7177414000000024E-2</v>
      </c>
      <c r="J10" s="3">
        <f t="shared" si="4"/>
        <v>3.5553557812500011E-2</v>
      </c>
      <c r="K10" s="24">
        <f t="shared" si="5"/>
        <v>1.0107148520349001</v>
      </c>
      <c r="L10" s="3">
        <f t="shared" si="6"/>
        <v>1.1199208249724002</v>
      </c>
      <c r="M10" s="22">
        <f t="shared" si="7"/>
        <v>0.52562755662922422</v>
      </c>
    </row>
    <row r="11" spans="1:13" x14ac:dyDescent="0.25">
      <c r="A11" s="2">
        <v>6</v>
      </c>
      <c r="B11" s="3">
        <f>+B10+$B$3</f>
        <v>1.3900000000000003</v>
      </c>
      <c r="C11" s="3">
        <v>0.69638582607148802</v>
      </c>
      <c r="D11" s="3">
        <v>0.1000604745</v>
      </c>
      <c r="E11" s="3">
        <v>7.1790837890625028E-2</v>
      </c>
      <c r="F11" s="24">
        <f t="shared" si="0"/>
        <v>2.2582371384621136</v>
      </c>
      <c r="G11" s="3">
        <f t="shared" si="8"/>
        <v>0.62550000000000017</v>
      </c>
      <c r="H11" s="3">
        <f t="shared" si="2"/>
        <v>0.34819291303574401</v>
      </c>
      <c r="I11" s="3">
        <f t="shared" si="3"/>
        <v>6.0036284699999998E-2</v>
      </c>
      <c r="J11" s="3">
        <f t="shared" si="4"/>
        <v>3.7331235703125014E-2</v>
      </c>
      <c r="K11" s="24">
        <f t="shared" si="5"/>
        <v>1.0710604334388691</v>
      </c>
      <c r="L11" s="3">
        <f t="shared" si="6"/>
        <v>1.1871767050232445</v>
      </c>
      <c r="M11" s="22">
        <f t="shared" si="7"/>
        <v>0.52570949472194317</v>
      </c>
    </row>
    <row r="12" spans="1:13" x14ac:dyDescent="0.25">
      <c r="A12" s="2">
        <v>7</v>
      </c>
      <c r="B12" s="3">
        <v>1.5717196731598859</v>
      </c>
      <c r="C12" s="3">
        <v>0.73816897563577755</v>
      </c>
      <c r="D12" s="3">
        <v>0.105063498225</v>
      </c>
      <c r="E12" s="3">
        <v>7.5380379785156271E-2</v>
      </c>
      <c r="F12" s="24">
        <f t="shared" si="0"/>
        <v>2.4903325268058194</v>
      </c>
      <c r="G12" s="3">
        <f t="shared" si="8"/>
        <v>0.70727385292194866</v>
      </c>
      <c r="H12" s="3">
        <f t="shared" si="2"/>
        <v>0.36908448781788877</v>
      </c>
      <c r="I12" s="3">
        <f t="shared" si="3"/>
        <v>6.3038098934999995E-2</v>
      </c>
      <c r="J12" s="3">
        <f t="shared" si="4"/>
        <v>3.9197797488281262E-2</v>
      </c>
      <c r="K12" s="24">
        <f t="shared" si="5"/>
        <v>1.1785942371631186</v>
      </c>
      <c r="L12" s="3">
        <f t="shared" si="6"/>
        <v>1.3117382896427008</v>
      </c>
      <c r="M12" s="22">
        <f t="shared" si="7"/>
        <v>0.52673218356312379</v>
      </c>
    </row>
    <row r="13" spans="1:13" x14ac:dyDescent="0.25">
      <c r="A13" s="2">
        <v>8</v>
      </c>
      <c r="B13" s="3">
        <v>1.6974572470126761</v>
      </c>
      <c r="C13" s="3">
        <v>0.78245911417392422</v>
      </c>
      <c r="D13" s="3">
        <v>0.11031667313625</v>
      </c>
      <c r="E13" s="3">
        <v>7.9149398774414084E-2</v>
      </c>
      <c r="F13" s="24">
        <f t="shared" si="0"/>
        <v>2.6693824330972644</v>
      </c>
      <c r="G13" s="3">
        <f t="shared" si="8"/>
        <v>0.7638557611557043</v>
      </c>
      <c r="H13" s="3">
        <f t="shared" si="2"/>
        <v>0.39122955708696211</v>
      </c>
      <c r="I13" s="3">
        <f t="shared" si="3"/>
        <v>6.6190003881750004E-2</v>
      </c>
      <c r="J13" s="3">
        <f t="shared" si="4"/>
        <v>4.1157687362695324E-2</v>
      </c>
      <c r="K13" s="24">
        <f t="shared" si="5"/>
        <v>1.2624330094871117</v>
      </c>
      <c r="L13" s="3">
        <f t="shared" si="6"/>
        <v>1.4069494236101527</v>
      </c>
      <c r="M13" s="22">
        <f t="shared" si="7"/>
        <v>0.52706925997773946</v>
      </c>
    </row>
    <row r="14" spans="1:13" x14ac:dyDescent="0.25">
      <c r="A14" s="2">
        <v>9</v>
      </c>
      <c r="B14" s="3">
        <v>1.8332538267736911</v>
      </c>
      <c r="C14" s="3">
        <v>0.82940666102435967</v>
      </c>
      <c r="D14" s="3">
        <v>0.1158325067930626</v>
      </c>
      <c r="E14" s="3">
        <v>8.3106868713134802E-2</v>
      </c>
      <c r="F14" s="24">
        <f t="shared" si="0"/>
        <v>2.8615998633042481</v>
      </c>
      <c r="G14" s="3">
        <f t="shared" si="8"/>
        <v>0.824964222048161</v>
      </c>
      <c r="H14" s="3">
        <f t="shared" si="2"/>
        <v>0.41470333051217984</v>
      </c>
      <c r="I14" s="3">
        <f t="shared" si="3"/>
        <v>6.9499504075837562E-2</v>
      </c>
      <c r="J14" s="3">
        <f t="shared" si="4"/>
        <v>4.3215571730830099E-2</v>
      </c>
      <c r="K14" s="24">
        <f t="shared" si="5"/>
        <v>1.3523826283670084</v>
      </c>
      <c r="L14" s="3">
        <f t="shared" si="6"/>
        <v>1.5092172349372397</v>
      </c>
      <c r="M14" s="22">
        <f t="shared" si="7"/>
        <v>0.52740330829991311</v>
      </c>
    </row>
    <row r="15" spans="1:13" x14ac:dyDescent="0.25">
      <c r="A15" s="2">
        <v>10</v>
      </c>
      <c r="B15" s="3">
        <v>1.979914132915586</v>
      </c>
      <c r="C15" s="3">
        <v>0.87917106068582107</v>
      </c>
      <c r="D15" s="3">
        <v>0.1216241321327157</v>
      </c>
      <c r="E15" s="3">
        <v>8.726221214879154E-2</v>
      </c>
      <c r="F15" s="24">
        <f t="shared" si="0"/>
        <v>3.0679715378829142</v>
      </c>
      <c r="G15" s="3">
        <f t="shared" si="8"/>
        <v>0.89096135981201374</v>
      </c>
      <c r="H15" s="3">
        <f t="shared" si="2"/>
        <v>0.43958553034291054</v>
      </c>
      <c r="I15" s="3">
        <f t="shared" si="3"/>
        <v>7.2974479279629412E-2</v>
      </c>
      <c r="J15" s="3">
        <f t="shared" si="4"/>
        <v>4.5376350317371604E-2</v>
      </c>
      <c r="K15" s="24">
        <f t="shared" si="5"/>
        <v>1.4488977197519253</v>
      </c>
      <c r="L15" s="3">
        <f t="shared" si="6"/>
        <v>1.6190738181309889</v>
      </c>
      <c r="M15" s="22">
        <f t="shared" si="7"/>
        <v>0.52773430200993576</v>
      </c>
    </row>
    <row r="16" spans="1:13" x14ac:dyDescent="0.25">
      <c r="A16" s="2">
        <v>11</v>
      </c>
      <c r="B16" s="3">
        <v>2.1383072635488332</v>
      </c>
      <c r="C16" s="3">
        <v>0.9319213243269705</v>
      </c>
      <c r="D16" s="3">
        <v>0.1277053387393515</v>
      </c>
      <c r="E16" s="3">
        <v>9.1625322756231101E-2</v>
      </c>
      <c r="F16" s="24">
        <f t="shared" si="0"/>
        <v>3.2895592493713863</v>
      </c>
      <c r="G16" s="3">
        <f t="shared" si="8"/>
        <v>0.96223826859697492</v>
      </c>
      <c r="H16" s="3">
        <f t="shared" si="2"/>
        <v>0.46596066216348525</v>
      </c>
      <c r="I16" s="3">
        <f t="shared" si="3"/>
        <v>7.6623203243610896E-2</v>
      </c>
      <c r="J16" s="3">
        <f t="shared" si="4"/>
        <v>4.7645167833240173E-2</v>
      </c>
      <c r="K16" s="24">
        <f t="shared" si="5"/>
        <v>1.5524673018373112</v>
      </c>
      <c r="L16" s="3">
        <f t="shared" si="6"/>
        <v>1.7370919475340751</v>
      </c>
      <c r="M16" s="22">
        <f t="shared" si="7"/>
        <v>0.52806221619690308</v>
      </c>
    </row>
    <row r="17" spans="1:13" x14ac:dyDescent="0.25">
      <c r="A17" s="2">
        <v>12</v>
      </c>
      <c r="B17" s="3">
        <v>2.3093718446327398</v>
      </c>
      <c r="C17" s="3">
        <v>0.98783660378658888</v>
      </c>
      <c r="D17" s="3">
        <v>0.13409060567631911</v>
      </c>
      <c r="E17" s="3">
        <v>9.6206588894042683E-2</v>
      </c>
      <c r="F17" s="24">
        <f t="shared" si="0"/>
        <v>3.5275056429896905</v>
      </c>
      <c r="G17" s="3">
        <f t="shared" si="8"/>
        <v>1.0392173300847329</v>
      </c>
      <c r="H17" s="3">
        <f t="shared" si="2"/>
        <v>0.49391830189329444</v>
      </c>
      <c r="I17" s="3">
        <f t="shared" si="3"/>
        <v>8.0454363405791471E-2</v>
      </c>
      <c r="J17" s="3">
        <f t="shared" si="4"/>
        <v>5.0027426224902194E-2</v>
      </c>
      <c r="K17" s="24">
        <f t="shared" si="5"/>
        <v>1.6636174216087212</v>
      </c>
      <c r="L17" s="3">
        <f t="shared" si="6"/>
        <v>1.8638882213809693</v>
      </c>
      <c r="M17" s="22">
        <f t="shared" si="7"/>
        <v>0.52838702755447775</v>
      </c>
    </row>
    <row r="18" spans="1:13" x14ac:dyDescent="0.25">
      <c r="A18" s="2">
        <v>13</v>
      </c>
      <c r="B18" s="3">
        <v>2.4941215922033591</v>
      </c>
      <c r="C18" s="3">
        <v>1.047106800013784</v>
      </c>
      <c r="D18" s="3">
        <v>0.14079513596013499</v>
      </c>
      <c r="E18" s="3">
        <v>0.10101691833874479</v>
      </c>
      <c r="F18" s="24">
        <f t="shared" si="0"/>
        <v>3.7830404465160226</v>
      </c>
      <c r="G18" s="3">
        <f t="shared" si="8"/>
        <v>1.1223547164915115</v>
      </c>
      <c r="H18" s="3">
        <f t="shared" si="2"/>
        <v>0.52355340000689199</v>
      </c>
      <c r="I18" s="3">
        <f t="shared" si="3"/>
        <v>8.4477081576080984E-2</v>
      </c>
      <c r="J18" s="3">
        <f t="shared" si="4"/>
        <v>5.2528797536147295E-2</v>
      </c>
      <c r="K18" s="24">
        <f t="shared" si="5"/>
        <v>1.7829139956106317</v>
      </c>
      <c r="L18" s="3">
        <f t="shared" si="6"/>
        <v>2.0001264509053911</v>
      </c>
      <c r="M18" s="22">
        <f t="shared" si="7"/>
        <v>0.52870871437480937</v>
      </c>
    </row>
    <row r="19" spans="1:13" x14ac:dyDescent="0.25">
      <c r="A19" s="2">
        <v>14</v>
      </c>
      <c r="B19" s="3">
        <v>2.6936513195796281</v>
      </c>
      <c r="C19" s="3">
        <v>1.1099332080146109</v>
      </c>
      <c r="D19" s="3">
        <v>0.14783489275814179</v>
      </c>
      <c r="E19" s="3">
        <v>0.1060677642556821</v>
      </c>
      <c r="F19" s="24">
        <f t="shared" si="0"/>
        <v>4.0574871846080631</v>
      </c>
      <c r="G19" s="3">
        <f t="shared" si="8"/>
        <v>1.2121430938108326</v>
      </c>
      <c r="H19" s="3">
        <f t="shared" si="2"/>
        <v>0.55496660400730546</v>
      </c>
      <c r="I19" s="3">
        <f t="shared" si="3"/>
        <v>8.8700935654885071E-2</v>
      </c>
      <c r="J19" s="3">
        <f t="shared" si="4"/>
        <v>5.5155237412954694E-2</v>
      </c>
      <c r="K19" s="24">
        <f t="shared" si="5"/>
        <v>1.9109658708859778</v>
      </c>
      <c r="L19" s="3">
        <f t="shared" si="6"/>
        <v>2.1465213137220855</v>
      </c>
      <c r="M19" s="22">
        <f t="shared" si="7"/>
        <v>0.52902725654065885</v>
      </c>
    </row>
    <row r="20" spans="1:13" x14ac:dyDescent="0.25">
      <c r="A20" s="2">
        <v>15</v>
      </c>
      <c r="B20" s="3">
        <v>2.9091434251459982</v>
      </c>
      <c r="C20" s="3">
        <v>1.1765292004954879</v>
      </c>
      <c r="D20" s="3">
        <v>0.15522663739604881</v>
      </c>
      <c r="E20" s="3">
        <v>0.1113711524684662</v>
      </c>
      <c r="F20" s="24">
        <f t="shared" si="0"/>
        <v>4.352270415506001</v>
      </c>
      <c r="G20" s="3">
        <f t="shared" si="8"/>
        <v>1.3091145413156993</v>
      </c>
      <c r="H20" s="3">
        <f t="shared" si="2"/>
        <v>0.58826460024774396</v>
      </c>
      <c r="I20" s="3">
        <f t="shared" si="3"/>
        <v>9.3135982437629286E-2</v>
      </c>
      <c r="J20" s="3">
        <f t="shared" si="4"/>
        <v>5.7912999283602426E-2</v>
      </c>
      <c r="K20" s="24">
        <f t="shared" si="5"/>
        <v>2.0484281232846748</v>
      </c>
      <c r="L20" s="3">
        <f t="shared" si="6"/>
        <v>2.3038422922213262</v>
      </c>
      <c r="M20" s="22">
        <f t="shared" si="7"/>
        <v>0.52934263551578475</v>
      </c>
    </row>
    <row r="21" spans="1:13" x14ac:dyDescent="0.25">
      <c r="A21" s="2">
        <v>16</v>
      </c>
      <c r="B21" s="3">
        <v>3.141874899157679</v>
      </c>
      <c r="C21" s="3">
        <v>1.247120952525218</v>
      </c>
      <c r="D21" s="3">
        <v>0.1629879692658513</v>
      </c>
      <c r="E21" s="3">
        <v>0.1169397100918895</v>
      </c>
      <c r="F21" s="24">
        <f t="shared" si="0"/>
        <v>4.6689235310406376</v>
      </c>
      <c r="G21" s="3">
        <f t="shared" si="8"/>
        <v>1.4138437046209555</v>
      </c>
      <c r="H21" s="3">
        <f t="shared" si="2"/>
        <v>0.62356047626260902</v>
      </c>
      <c r="I21" s="3">
        <f t="shared" si="3"/>
        <v>9.779278155951078E-2</v>
      </c>
      <c r="J21" s="3">
        <f t="shared" si="4"/>
        <v>6.0808649247782544E-2</v>
      </c>
      <c r="K21" s="24">
        <f t="shared" si="5"/>
        <v>2.196005611690858</v>
      </c>
      <c r="L21" s="3">
        <f t="shared" si="6"/>
        <v>2.4729179193497797</v>
      </c>
      <c r="M21" s="22">
        <f t="shared" si="7"/>
        <v>0.52965483433364369</v>
      </c>
    </row>
    <row r="22" spans="1:13" x14ac:dyDescent="0.25">
      <c r="A22" s="2">
        <v>17</v>
      </c>
      <c r="B22" s="3">
        <v>3.3932248910902931</v>
      </c>
      <c r="C22" s="3">
        <v>1.3219482096767301</v>
      </c>
      <c r="D22" s="3">
        <v>0.1711373677291439</v>
      </c>
      <c r="E22" s="3">
        <v>0.122786695596484</v>
      </c>
      <c r="F22" s="24">
        <f t="shared" si="0"/>
        <v>5.0090971640926512</v>
      </c>
      <c r="G22" s="3">
        <f t="shared" si="8"/>
        <v>1.5269512009906319</v>
      </c>
      <c r="H22" s="3">
        <f t="shared" si="2"/>
        <v>0.66097410483836505</v>
      </c>
      <c r="I22" s="3">
        <f t="shared" si="3"/>
        <v>0.10268242063748634</v>
      </c>
      <c r="J22" s="3">
        <f t="shared" si="4"/>
        <v>6.3849081710171687E-2</v>
      </c>
      <c r="K22" s="24">
        <f t="shared" si="5"/>
        <v>2.3544568081766548</v>
      </c>
      <c r="L22" s="3">
        <f t="shared" si="6"/>
        <v>2.6546403559159963</v>
      </c>
      <c r="M22" s="22">
        <f t="shared" si="7"/>
        <v>0.52996383758446386</v>
      </c>
    </row>
    <row r="23" spans="1:13" x14ac:dyDescent="0.25">
      <c r="A23" s="2">
        <v>18</v>
      </c>
      <c r="B23" s="3">
        <v>3.6646828823775182</v>
      </c>
      <c r="C23" s="3">
        <v>1.4012651022573339</v>
      </c>
      <c r="D23" s="3">
        <v>0.17969423611560109</v>
      </c>
      <c r="E23" s="3">
        <v>0.1289260303763082</v>
      </c>
      <c r="F23" s="24">
        <f t="shared" si="0"/>
        <v>5.3745682511267621</v>
      </c>
      <c r="G23" s="3">
        <f t="shared" si="8"/>
        <v>1.6491072970698832</v>
      </c>
      <c r="H23" s="3">
        <f t="shared" si="2"/>
        <v>0.70063255112866696</v>
      </c>
      <c r="I23" s="3">
        <f t="shared" si="3"/>
        <v>0.10781654166936065</v>
      </c>
      <c r="J23" s="3">
        <f t="shared" si="4"/>
        <v>6.7041535795680271E-2</v>
      </c>
      <c r="K23" s="24">
        <f t="shared" si="5"/>
        <v>2.5245979256635911</v>
      </c>
      <c r="L23" s="3">
        <f t="shared" si="6"/>
        <v>2.849970325463171</v>
      </c>
      <c r="M23" s="22">
        <f t="shared" si="7"/>
        <v>0.53026963140075178</v>
      </c>
    </row>
    <row r="24" spans="1:13" x14ac:dyDescent="0.25">
      <c r="A24" s="2">
        <v>19</v>
      </c>
      <c r="B24" s="3">
        <v>3.9578575129677191</v>
      </c>
      <c r="C24" s="3">
        <v>1.4853410083927741</v>
      </c>
      <c r="D24" s="3">
        <v>0.1886789479213811</v>
      </c>
      <c r="E24" s="3">
        <v>0.1353723318951236</v>
      </c>
      <c r="F24" s="24">
        <f t="shared" si="0"/>
        <v>5.7672498011769973</v>
      </c>
      <c r="G24" s="3">
        <f t="shared" si="8"/>
        <v>1.7810358808354736</v>
      </c>
      <c r="H24" s="3">
        <f t="shared" si="2"/>
        <v>0.74267050419638703</v>
      </c>
      <c r="I24" s="3">
        <f t="shared" si="3"/>
        <v>0.11320736875282865</v>
      </c>
      <c r="J24" s="3">
        <f t="shared" si="4"/>
        <v>7.0393612585464269E-2</v>
      </c>
      <c r="K24" s="24">
        <f t="shared" si="5"/>
        <v>2.7073073663701535</v>
      </c>
      <c r="L24" s="3">
        <f t="shared" si="6"/>
        <v>3.0599424348068438</v>
      </c>
      <c r="M24" s="22">
        <f t="shared" si="7"/>
        <v>0.53057220344129397</v>
      </c>
    </row>
    <row r="25" spans="1:13" x14ac:dyDescent="0.25">
      <c r="A25" s="2">
        <v>20</v>
      </c>
      <c r="B25" s="3">
        <v>4.2744861140051356</v>
      </c>
      <c r="C25" s="3">
        <v>1.574461468896341</v>
      </c>
      <c r="D25" s="3">
        <v>0.19811289531745019</v>
      </c>
      <c r="E25" s="3">
        <v>0.14214094848987979</v>
      </c>
      <c r="F25" s="24">
        <f t="shared" si="0"/>
        <v>6.1892014267088067</v>
      </c>
      <c r="G25" s="3">
        <f t="shared" si="8"/>
        <v>1.9235187513023111</v>
      </c>
      <c r="H25" s="3">
        <f t="shared" si="2"/>
        <v>0.78723073444817049</v>
      </c>
      <c r="I25" s="3">
        <f t="shared" si="3"/>
        <v>0.11886773719047011</v>
      </c>
      <c r="J25" s="3">
        <f t="shared" si="4"/>
        <v>7.3913293214737497E-2</v>
      </c>
      <c r="K25" s="24">
        <f t="shared" si="5"/>
        <v>2.9035305161556892</v>
      </c>
      <c r="L25" s="3">
        <f t="shared" si="6"/>
        <v>3.2856709105531174</v>
      </c>
      <c r="M25" s="22">
        <f t="shared" si="7"/>
        <v>0.53087154287371741</v>
      </c>
    </row>
    <row r="26" spans="1:13" x14ac:dyDescent="0.25">
      <c r="A26" s="4" t="s">
        <v>43</v>
      </c>
      <c r="B26" s="12">
        <f t="shared" ref="B26:L26" si="9">SUM(B5:B25)</f>
        <v>45.199066624570747</v>
      </c>
      <c r="C26" s="12">
        <f t="shared" si="9"/>
        <v>19.14248595050201</v>
      </c>
      <c r="D26" s="12">
        <f t="shared" si="9"/>
        <v>2.5923708016664522</v>
      </c>
      <c r="E26" s="12">
        <f t="shared" si="9"/>
        <v>1.8599599182874735</v>
      </c>
      <c r="F26" s="25">
        <f t="shared" si="9"/>
        <v>68.793883295026689</v>
      </c>
      <c r="G26" s="12">
        <f t="shared" si="9"/>
        <v>20.339579981056836</v>
      </c>
      <c r="H26" s="12">
        <f t="shared" si="9"/>
        <v>9.5712429752510051</v>
      </c>
      <c r="I26" s="12">
        <f t="shared" si="9"/>
        <v>1.5554224809998711</v>
      </c>
      <c r="J26" s="12">
        <f t="shared" si="9"/>
        <v>0.96717915750948624</v>
      </c>
      <c r="K26" s="25">
        <f t="shared" si="9"/>
        <v>32.433424594817197</v>
      </c>
      <c r="L26" s="12">
        <f t="shared" si="9"/>
        <v>36.360458700209485</v>
      </c>
    </row>
    <row r="28" spans="1:13" x14ac:dyDescent="0.25">
      <c r="A28" s="30" t="s">
        <v>290</v>
      </c>
    </row>
  </sheetData>
  <sheetProtection sheet="1" objects="1" scenarios="1" password="9DEB" selectLockedCells="1" selectUnlockedCells="1"/>
  <mergeCells count="2">
    <mergeCell ref="A2:M2"/>
    <mergeCell ref="A1:M1"/>
  </mergeCells>
  <pageMargins left="0.75" right="0.75" top="1" bottom="1" header="0.5" footer="0.5"/>
  <pageSetup fitToHeight="0" orientation="landscape" r:id="rId1"/>
  <headerFooter>
    <oddHeader>&amp;C&amp;G</oddHeader>
  </headerFooter>
  <ignoredErrors>
    <ignoredError sqref="F13:F25 F5:F12" formulaRange="1"/>
    <ignoredError sqref="G6" formula="1"/>
  </ignoredError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8"/>
  <sheetViews>
    <sheetView showGridLines="0" workbookViewId="0">
      <pane ySplit="4" topLeftCell="A5" activePane="bottomLeft" state="frozen"/>
      <selection pane="bottomLeft" activeCell="A28" sqref="A28"/>
    </sheetView>
  </sheetViews>
  <sheetFormatPr defaultRowHeight="15" x14ac:dyDescent="0.25"/>
  <cols>
    <col min="1" max="1" width="9" customWidth="1"/>
    <col min="2" max="4" width="15" customWidth="1"/>
    <col min="5" max="6" width="18" customWidth="1"/>
    <col min="7" max="7" width="12" customWidth="1"/>
    <col min="8" max="8" width="16" customWidth="1"/>
    <col min="9" max="9" width="17" customWidth="1"/>
    <col min="10" max="10" width="16" customWidth="1"/>
    <col min="11" max="11" width="14" customWidth="1"/>
    <col min="12" max="12" width="18" customWidth="1"/>
    <col min="13" max="13" width="34" customWidth="1"/>
  </cols>
  <sheetData>
    <row r="1" spans="1:13" ht="21" x14ac:dyDescent="0.35">
      <c r="A1" s="33" t="s">
        <v>199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31" t="s">
        <v>200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4" spans="1:13" ht="30" x14ac:dyDescent="0.25">
      <c r="A4" s="21" t="s">
        <v>31</v>
      </c>
      <c r="B4" s="21" t="s">
        <v>201</v>
      </c>
      <c r="C4" s="21" t="s">
        <v>169</v>
      </c>
      <c r="D4" s="21" t="s">
        <v>197</v>
      </c>
      <c r="E4" s="21" t="s">
        <v>202</v>
      </c>
      <c r="F4" s="21" t="s">
        <v>203</v>
      </c>
      <c r="G4" s="21" t="s">
        <v>204</v>
      </c>
      <c r="H4" s="21" t="s">
        <v>205</v>
      </c>
      <c r="I4" s="21" t="s">
        <v>206</v>
      </c>
      <c r="J4" s="21" t="s">
        <v>207</v>
      </c>
      <c r="K4" s="21" t="s">
        <v>208</v>
      </c>
      <c r="L4" s="21" t="s">
        <v>209</v>
      </c>
      <c r="M4" s="21" t="s">
        <v>210</v>
      </c>
    </row>
    <row r="5" spans="1:13" x14ac:dyDescent="0.25">
      <c r="A5" s="2">
        <v>0</v>
      </c>
      <c r="B5" s="3">
        <f>Operations!F5</f>
        <v>0</v>
      </c>
      <c r="C5" s="3">
        <f>Operations!K5</f>
        <v>0</v>
      </c>
      <c r="D5" s="3">
        <f>Operations!L5</f>
        <v>0</v>
      </c>
      <c r="E5" s="3">
        <f t="shared" ref="E5:E25" si="0">B5*0.025</f>
        <v>0</v>
      </c>
      <c r="F5" s="3">
        <f>CAPEX!G5</f>
        <v>0.125</v>
      </c>
      <c r="G5" s="3">
        <f t="shared" ref="G5:G25" si="1">MAX(0,(D5-E5)*0.27)</f>
        <v>0</v>
      </c>
      <c r="H5" s="3">
        <v>0</v>
      </c>
      <c r="I5" s="3">
        <f t="shared" ref="I5:I25" si="2">D5-E5-F5-G5+H5</f>
        <v>-0.125</v>
      </c>
      <c r="J5" s="3">
        <f t="shared" ref="J5:J25" si="3">1/(1+0.085)^A5</f>
        <v>1</v>
      </c>
      <c r="K5" s="3">
        <f t="shared" ref="K5:K25" si="4">I5*J5</f>
        <v>-0.125</v>
      </c>
      <c r="L5" s="3">
        <f>I5</f>
        <v>-0.125</v>
      </c>
      <c r="M5" s="3"/>
    </row>
    <row r="6" spans="1:13" x14ac:dyDescent="0.25">
      <c r="A6" s="2">
        <v>1</v>
      </c>
      <c r="B6" s="3">
        <f>Operations!F6</f>
        <v>1.64503</v>
      </c>
      <c r="C6" s="3">
        <f>Operations!K6</f>
        <v>0.7819799999999999</v>
      </c>
      <c r="D6" s="3">
        <f>Operations!L6</f>
        <v>0.86305000000000009</v>
      </c>
      <c r="E6" s="3">
        <f t="shared" si="0"/>
        <v>4.1125750000000003E-2</v>
      </c>
      <c r="F6" s="3">
        <f>CAPEX!G6</f>
        <v>2.4785714285714286</v>
      </c>
      <c r="G6" s="3">
        <f t="shared" si="1"/>
        <v>0.22191954750000006</v>
      </c>
      <c r="H6" s="3">
        <v>0</v>
      </c>
      <c r="I6" s="3">
        <f t="shared" si="2"/>
        <v>-1.8785667260714285</v>
      </c>
      <c r="J6" s="3">
        <f t="shared" si="3"/>
        <v>0.92165898617511521</v>
      </c>
      <c r="K6" s="3">
        <f t="shared" si="4"/>
        <v>-1.7313979042132981</v>
      </c>
      <c r="L6" s="3">
        <f t="shared" ref="L6:L25" si="5">L5+I6</f>
        <v>-2.0035667260714285</v>
      </c>
      <c r="M6" s="3"/>
    </row>
    <row r="7" spans="1:13" x14ac:dyDescent="0.25">
      <c r="A7" s="2">
        <v>2</v>
      </c>
      <c r="B7" s="3">
        <f>Operations!F7</f>
        <v>1.7629853000000002</v>
      </c>
      <c r="C7" s="3">
        <f>Operations!K7</f>
        <v>0.83740590000000004</v>
      </c>
      <c r="D7" s="3">
        <f>Operations!L7</f>
        <v>0.92557940000000016</v>
      </c>
      <c r="E7" s="3">
        <f t="shared" si="0"/>
        <v>4.4074632500000009E-2</v>
      </c>
      <c r="F7" s="3">
        <f>CAPEX!G7</f>
        <v>2.4785714285714286</v>
      </c>
      <c r="G7" s="3">
        <f t="shared" si="1"/>
        <v>0.23800628722500006</v>
      </c>
      <c r="H7" s="3">
        <v>0</v>
      </c>
      <c r="I7" s="3">
        <f t="shared" si="2"/>
        <v>-1.8350729482964288</v>
      </c>
      <c r="J7" s="3">
        <f t="shared" si="3"/>
        <v>0.84945528679734128</v>
      </c>
      <c r="K7" s="3">
        <f t="shared" si="4"/>
        <v>-1.5588124175891855</v>
      </c>
      <c r="L7" s="3">
        <f t="shared" si="5"/>
        <v>-3.8386396743678572</v>
      </c>
      <c r="M7" s="3"/>
    </row>
    <row r="8" spans="1:13" x14ac:dyDescent="0.25">
      <c r="A8" s="2">
        <v>3</v>
      </c>
      <c r="B8" s="3">
        <f>Operations!F8</f>
        <v>1.8831505930000001</v>
      </c>
      <c r="C8" s="3">
        <f>Operations!K8</f>
        <v>0.89395920900000003</v>
      </c>
      <c r="D8" s="3">
        <f>Operations!L8</f>
        <v>0.98919138400000006</v>
      </c>
      <c r="E8" s="3">
        <f t="shared" si="0"/>
        <v>4.7078764825000008E-2</v>
      </c>
      <c r="F8" s="3">
        <f>CAPEX!G8</f>
        <v>2.4785714285714286</v>
      </c>
      <c r="G8" s="3">
        <f t="shared" si="1"/>
        <v>0.25437040717725001</v>
      </c>
      <c r="H8" s="3">
        <v>0</v>
      </c>
      <c r="I8" s="3">
        <f t="shared" si="2"/>
        <v>-1.7908292165736786</v>
      </c>
      <c r="J8" s="3">
        <f t="shared" si="3"/>
        <v>0.78290809843072917</v>
      </c>
      <c r="K8" s="3">
        <f t="shared" si="4"/>
        <v>-1.4020546965618912</v>
      </c>
      <c r="L8" s="3">
        <f t="shared" si="5"/>
        <v>-5.6294688909415358</v>
      </c>
      <c r="M8" s="3"/>
    </row>
    <row r="9" spans="1:13" x14ac:dyDescent="0.25">
      <c r="A9" s="2">
        <v>4</v>
      </c>
      <c r="B9" s="3">
        <f>Operations!F9</f>
        <v>2.0056551123299999</v>
      </c>
      <c r="C9" s="3">
        <f>Operations!K9</f>
        <v>0.95170566429000003</v>
      </c>
      <c r="D9" s="3">
        <f>Operations!L9</f>
        <v>1.05394944804</v>
      </c>
      <c r="E9" s="3">
        <f t="shared" si="0"/>
        <v>5.0141377808250003E-2</v>
      </c>
      <c r="F9" s="3">
        <f>CAPEX!G9</f>
        <v>2.4785714285714286</v>
      </c>
      <c r="G9" s="3">
        <f t="shared" si="1"/>
        <v>0.27102817896257253</v>
      </c>
      <c r="H9" s="3">
        <v>0</v>
      </c>
      <c r="I9" s="3">
        <f t="shared" si="2"/>
        <v>-1.7457915373022512</v>
      </c>
      <c r="J9" s="3">
        <f t="shared" si="3"/>
        <v>0.72157428426795334</v>
      </c>
      <c r="K9" s="3">
        <f t="shared" si="4"/>
        <v>-1.2597182790099219</v>
      </c>
      <c r="L9" s="3">
        <f t="shared" si="5"/>
        <v>-7.375260428243787</v>
      </c>
      <c r="M9" s="3"/>
    </row>
    <row r="10" spans="1:13" x14ac:dyDescent="0.25">
      <c r="A10" s="2">
        <v>5</v>
      </c>
      <c r="B10" s="3">
        <f>Operations!F10</f>
        <v>2.1306356770073003</v>
      </c>
      <c r="C10" s="3">
        <f>Operations!K10</f>
        <v>1.0107148520349001</v>
      </c>
      <c r="D10" s="3">
        <f>Operations!L10</f>
        <v>1.1199208249724002</v>
      </c>
      <c r="E10" s="3">
        <f t="shared" si="0"/>
        <v>5.326589192518251E-2</v>
      </c>
      <c r="F10" s="3">
        <f>CAPEX!G10</f>
        <v>2.4785714285714286</v>
      </c>
      <c r="G10" s="3">
        <f t="shared" si="1"/>
        <v>0.28799683192274877</v>
      </c>
      <c r="H10" s="3">
        <v>0</v>
      </c>
      <c r="I10" s="3">
        <f t="shared" si="2"/>
        <v>-1.6999133274469598</v>
      </c>
      <c r="J10" s="3">
        <f t="shared" si="3"/>
        <v>0.66504542328843619</v>
      </c>
      <c r="K10" s="3">
        <f t="shared" si="4"/>
        <v>-1.1305195784056175</v>
      </c>
      <c r="L10" s="3">
        <f t="shared" si="5"/>
        <v>-9.0751737556907468</v>
      </c>
      <c r="M10" s="3"/>
    </row>
    <row r="11" spans="1:13" x14ac:dyDescent="0.25">
      <c r="A11" s="2">
        <v>6</v>
      </c>
      <c r="B11" s="3">
        <f>Operations!F11</f>
        <v>2.2582371384621136</v>
      </c>
      <c r="C11" s="3">
        <f>Operations!K11</f>
        <v>1.0710604334388691</v>
      </c>
      <c r="D11" s="3">
        <f>Operations!L11</f>
        <v>1.1871767050232445</v>
      </c>
      <c r="E11" s="3">
        <f t="shared" si="0"/>
        <v>5.645592846155284E-2</v>
      </c>
      <c r="F11" s="3">
        <f>CAPEX!G11</f>
        <v>2.0785714285714287</v>
      </c>
      <c r="G11" s="3">
        <f t="shared" si="1"/>
        <v>0.30529460967165672</v>
      </c>
      <c r="H11" s="3">
        <v>0</v>
      </c>
      <c r="I11" s="3">
        <f t="shared" si="2"/>
        <v>-1.2531452616813938</v>
      </c>
      <c r="J11" s="3">
        <f t="shared" si="3"/>
        <v>0.6129450905884205</v>
      </c>
      <c r="K11" s="3">
        <f t="shared" si="4"/>
        <v>-0.76810923594175184</v>
      </c>
      <c r="L11" s="3">
        <f t="shared" si="5"/>
        <v>-10.328319017372142</v>
      </c>
      <c r="M11" s="3"/>
    </row>
    <row r="12" spans="1:13" x14ac:dyDescent="0.25">
      <c r="A12" s="2">
        <v>7</v>
      </c>
      <c r="B12" s="3">
        <f>Operations!F12</f>
        <v>2.4903325268058194</v>
      </c>
      <c r="C12" s="3">
        <f>Operations!K12</f>
        <v>1.1785942371631186</v>
      </c>
      <c r="D12" s="3">
        <f>Operations!L12</f>
        <v>1.3117382896427008</v>
      </c>
      <c r="E12" s="3">
        <f t="shared" si="0"/>
        <v>6.2258313170145491E-2</v>
      </c>
      <c r="F12" s="3">
        <f>CAPEX!G12</f>
        <v>2.0785714285714287</v>
      </c>
      <c r="G12" s="3">
        <f t="shared" si="1"/>
        <v>0.33735959364758994</v>
      </c>
      <c r="H12" s="3">
        <v>0</v>
      </c>
      <c r="I12" s="3">
        <f t="shared" si="2"/>
        <v>-1.1664510457464634</v>
      </c>
      <c r="J12" s="3">
        <f t="shared" si="3"/>
        <v>0.56492635077273778</v>
      </c>
      <c r="K12" s="3">
        <f t="shared" si="4"/>
        <v>-0.6589589326285934</v>
      </c>
      <c r="L12" s="3">
        <f t="shared" si="5"/>
        <v>-11.494770063118604</v>
      </c>
      <c r="M12" s="3"/>
    </row>
    <row r="13" spans="1:13" x14ac:dyDescent="0.25">
      <c r="A13" s="2">
        <v>8</v>
      </c>
      <c r="B13" s="3">
        <f>Operations!F13</f>
        <v>2.6693824330972644</v>
      </c>
      <c r="C13" s="3">
        <f>Operations!K13</f>
        <v>1.2624330094871117</v>
      </c>
      <c r="D13" s="3">
        <f>Operations!L13</f>
        <v>1.4069494236101527</v>
      </c>
      <c r="E13" s="3">
        <f t="shared" si="0"/>
        <v>6.6734560827431608E-2</v>
      </c>
      <c r="F13" s="3">
        <f>CAPEX!G13</f>
        <v>0.65</v>
      </c>
      <c r="G13" s="3">
        <f t="shared" si="1"/>
        <v>0.36185801295133468</v>
      </c>
      <c r="H13" s="3">
        <v>0</v>
      </c>
      <c r="I13" s="3">
        <f t="shared" si="2"/>
        <v>0.32835684983138635</v>
      </c>
      <c r="J13" s="3">
        <f t="shared" si="3"/>
        <v>0.52066944771680901</v>
      </c>
      <c r="K13" s="3">
        <f t="shared" si="4"/>
        <v>0.17096537965573913</v>
      </c>
      <c r="L13" s="3">
        <f t="shared" si="5"/>
        <v>-11.166413213287218</v>
      </c>
      <c r="M13" s="3"/>
    </row>
    <row r="14" spans="1:13" x14ac:dyDescent="0.25">
      <c r="A14" s="2">
        <v>9</v>
      </c>
      <c r="B14" s="3">
        <f>Operations!F14</f>
        <v>2.8615998633042481</v>
      </c>
      <c r="C14" s="3">
        <f>Operations!K14</f>
        <v>1.3523826283670084</v>
      </c>
      <c r="D14" s="3">
        <f>Operations!L14</f>
        <v>1.5092172349372397</v>
      </c>
      <c r="E14" s="3">
        <f t="shared" si="0"/>
        <v>7.1539996582606208E-2</v>
      </c>
      <c r="F14" s="3">
        <f>CAPEX!G14</f>
        <v>0.65</v>
      </c>
      <c r="G14" s="3">
        <f t="shared" si="1"/>
        <v>0.38817285435575105</v>
      </c>
      <c r="H14" s="3">
        <v>0</v>
      </c>
      <c r="I14" s="3">
        <f t="shared" si="2"/>
        <v>0.39950438399888238</v>
      </c>
      <c r="J14" s="3">
        <f t="shared" si="3"/>
        <v>0.4798796753150314</v>
      </c>
      <c r="K14" s="3">
        <f t="shared" si="4"/>
        <v>0.19171403408031532</v>
      </c>
      <c r="L14" s="3">
        <f t="shared" si="5"/>
        <v>-10.766908829288335</v>
      </c>
      <c r="M14" s="3"/>
    </row>
    <row r="15" spans="1:13" x14ac:dyDescent="0.25">
      <c r="A15" s="2">
        <v>10</v>
      </c>
      <c r="B15" s="3">
        <f>Operations!F15</f>
        <v>3.0679715378829142</v>
      </c>
      <c r="C15" s="3">
        <f>Operations!K15</f>
        <v>1.4488977197519253</v>
      </c>
      <c r="D15" s="3">
        <f>Operations!L15</f>
        <v>1.6190738181309889</v>
      </c>
      <c r="E15" s="3">
        <f t="shared" si="0"/>
        <v>7.6699288447072855E-2</v>
      </c>
      <c r="F15" s="3">
        <f>CAPEX!G15</f>
        <v>0.65</v>
      </c>
      <c r="G15" s="3">
        <f t="shared" si="1"/>
        <v>0.41644112301465736</v>
      </c>
      <c r="H15" s="3">
        <v>0</v>
      </c>
      <c r="I15" s="3">
        <f t="shared" si="2"/>
        <v>0.4759334066692586</v>
      </c>
      <c r="J15" s="3">
        <f t="shared" si="3"/>
        <v>0.44228541503689528</v>
      </c>
      <c r="K15" s="3">
        <f t="shared" si="4"/>
        <v>0.2104984042986365</v>
      </c>
      <c r="L15" s="3">
        <f t="shared" si="5"/>
        <v>-10.290975422619077</v>
      </c>
      <c r="M15" s="3"/>
    </row>
    <row r="16" spans="1:13" x14ac:dyDescent="0.25">
      <c r="A16" s="2">
        <v>11</v>
      </c>
      <c r="B16" s="3">
        <f>Operations!F16</f>
        <v>3.2895592493713863</v>
      </c>
      <c r="C16" s="3">
        <f>Operations!K16</f>
        <v>1.5524673018373112</v>
      </c>
      <c r="D16" s="3">
        <f>Operations!L16</f>
        <v>1.7370919475340751</v>
      </c>
      <c r="E16" s="3">
        <f t="shared" si="0"/>
        <v>8.2238981234284664E-2</v>
      </c>
      <c r="F16" s="3">
        <f>CAPEX!G16</f>
        <v>0.65</v>
      </c>
      <c r="G16" s="3">
        <f t="shared" si="1"/>
        <v>0.44681030090094342</v>
      </c>
      <c r="H16" s="3">
        <v>0</v>
      </c>
      <c r="I16" s="3">
        <f t="shared" si="2"/>
        <v>0.55804266539884706</v>
      </c>
      <c r="J16" s="3">
        <f t="shared" si="3"/>
        <v>0.40763632722294496</v>
      </c>
      <c r="K16" s="3">
        <f t="shared" si="4"/>
        <v>0.22747846255688881</v>
      </c>
      <c r="L16" s="3">
        <f t="shared" si="5"/>
        <v>-9.7329327572202295</v>
      </c>
      <c r="M16" s="3"/>
    </row>
    <row r="17" spans="1:13" x14ac:dyDescent="0.25">
      <c r="A17" s="2">
        <v>12</v>
      </c>
      <c r="B17" s="3">
        <f>Operations!F17</f>
        <v>3.5275056429896905</v>
      </c>
      <c r="C17" s="3">
        <f>Operations!K17</f>
        <v>1.6636174216087212</v>
      </c>
      <c r="D17" s="3">
        <f>Operations!L17</f>
        <v>1.8638882213809693</v>
      </c>
      <c r="E17" s="3">
        <f t="shared" si="0"/>
        <v>8.8187641074742265E-2</v>
      </c>
      <c r="F17" s="3">
        <f>CAPEX!G17</f>
        <v>0.65</v>
      </c>
      <c r="G17" s="3">
        <f t="shared" si="1"/>
        <v>0.47943915668268133</v>
      </c>
      <c r="H17" s="3">
        <v>0</v>
      </c>
      <c r="I17" s="3">
        <f t="shared" si="2"/>
        <v>0.64626142362354588</v>
      </c>
      <c r="J17" s="3">
        <f t="shared" si="3"/>
        <v>0.37570168407644705</v>
      </c>
      <c r="K17" s="3">
        <f t="shared" si="4"/>
        <v>0.24280150520900834</v>
      </c>
      <c r="L17" s="3">
        <f t="shared" si="5"/>
        <v>-9.0866713335966836</v>
      </c>
      <c r="M17" s="3"/>
    </row>
    <row r="18" spans="1:13" x14ac:dyDescent="0.25">
      <c r="A18" s="2">
        <v>13</v>
      </c>
      <c r="B18" s="3">
        <f>Operations!F18</f>
        <v>3.7830404465160226</v>
      </c>
      <c r="C18" s="3">
        <f>Operations!K18</f>
        <v>1.7829139956106317</v>
      </c>
      <c r="D18" s="3">
        <f>Operations!L18</f>
        <v>2.0001264509053911</v>
      </c>
      <c r="E18" s="3">
        <f t="shared" si="0"/>
        <v>9.457601116290057E-2</v>
      </c>
      <c r="F18" s="3">
        <f>CAPEX!G18</f>
        <v>0.65</v>
      </c>
      <c r="G18" s="3">
        <f t="shared" si="1"/>
        <v>0.51449861873047242</v>
      </c>
      <c r="H18" s="3">
        <v>0</v>
      </c>
      <c r="I18" s="3">
        <f t="shared" si="2"/>
        <v>0.74105182101201794</v>
      </c>
      <c r="J18" s="3">
        <f t="shared" si="3"/>
        <v>0.3462688332501816</v>
      </c>
      <c r="K18" s="3">
        <f t="shared" si="4"/>
        <v>0.25660314943975387</v>
      </c>
      <c r="L18" s="3">
        <f t="shared" si="5"/>
        <v>-8.3456195125846655</v>
      </c>
      <c r="M18" s="3"/>
    </row>
    <row r="19" spans="1:13" x14ac:dyDescent="0.25">
      <c r="A19" s="2">
        <v>14</v>
      </c>
      <c r="B19" s="3">
        <f>Operations!F19</f>
        <v>4.0574871846080631</v>
      </c>
      <c r="C19" s="3">
        <f>Operations!K19</f>
        <v>1.9109658708859778</v>
      </c>
      <c r="D19" s="3">
        <f>Operations!L19</f>
        <v>2.1465213137220855</v>
      </c>
      <c r="E19" s="3">
        <f t="shared" si="0"/>
        <v>0.10143717961520159</v>
      </c>
      <c r="F19" s="3">
        <f>CAPEX!G19</f>
        <v>0.65</v>
      </c>
      <c r="G19" s="3">
        <f t="shared" si="1"/>
        <v>0.55217271620885866</v>
      </c>
      <c r="H19" s="3">
        <v>0</v>
      </c>
      <c r="I19" s="3">
        <f t="shared" si="2"/>
        <v>0.84291141789802537</v>
      </c>
      <c r="J19" s="3">
        <f t="shared" si="3"/>
        <v>0.31914178179740244</v>
      </c>
      <c r="K19" s="3">
        <f t="shared" si="4"/>
        <v>0.26900825180535071</v>
      </c>
      <c r="L19" s="3">
        <f t="shared" si="5"/>
        <v>-7.50270809468664</v>
      </c>
      <c r="M19" s="3"/>
    </row>
    <row r="20" spans="1:13" x14ac:dyDescent="0.25">
      <c r="A20" s="2">
        <v>15</v>
      </c>
      <c r="B20" s="3">
        <f>Operations!F20</f>
        <v>4.352270415506001</v>
      </c>
      <c r="C20" s="3">
        <f>Operations!K20</f>
        <v>2.0484281232846748</v>
      </c>
      <c r="D20" s="3">
        <f>Operations!L20</f>
        <v>2.3038422922213262</v>
      </c>
      <c r="E20" s="3">
        <f t="shared" si="0"/>
        <v>0.10880676038765003</v>
      </c>
      <c r="F20" s="3">
        <f>CAPEX!G20</f>
        <v>0.65</v>
      </c>
      <c r="G20" s="3">
        <f t="shared" si="1"/>
        <v>0.59265959359509257</v>
      </c>
      <c r="H20" s="3">
        <v>0</v>
      </c>
      <c r="I20" s="3">
        <f t="shared" si="2"/>
        <v>0.95237593823858357</v>
      </c>
      <c r="J20" s="3">
        <f t="shared" si="3"/>
        <v>0.2941398910575137</v>
      </c>
      <c r="K20" s="3">
        <f t="shared" si="4"/>
        <v>0.28013175471929436</v>
      </c>
      <c r="L20" s="3">
        <f t="shared" si="5"/>
        <v>-6.5503321564480563</v>
      </c>
      <c r="M20" s="3"/>
    </row>
    <row r="21" spans="1:13" x14ac:dyDescent="0.25">
      <c r="A21" s="2">
        <v>16</v>
      </c>
      <c r="B21" s="3">
        <f>Operations!F21</f>
        <v>4.6689235310406376</v>
      </c>
      <c r="C21" s="3">
        <f>Operations!K21</f>
        <v>2.196005611690858</v>
      </c>
      <c r="D21" s="3">
        <f>Operations!L21</f>
        <v>2.4729179193497797</v>
      </c>
      <c r="E21" s="3">
        <f t="shared" si="0"/>
        <v>0.11672308827601595</v>
      </c>
      <c r="F21" s="3">
        <f>CAPEX!G21</f>
        <v>0.65</v>
      </c>
      <c r="G21" s="3">
        <f t="shared" si="1"/>
        <v>0.6361726043899163</v>
      </c>
      <c r="H21" s="3">
        <v>0</v>
      </c>
      <c r="I21" s="3">
        <f t="shared" si="2"/>
        <v>1.0700222266838477</v>
      </c>
      <c r="J21" s="3">
        <f t="shared" si="3"/>
        <v>0.27109667378572694</v>
      </c>
      <c r="K21" s="3">
        <f t="shared" si="4"/>
        <v>0.29007946653078825</v>
      </c>
      <c r="L21" s="3">
        <f t="shared" si="5"/>
        <v>-5.4803099297642088</v>
      </c>
      <c r="M21" s="3"/>
    </row>
    <row r="22" spans="1:13" x14ac:dyDescent="0.25">
      <c r="A22" s="2">
        <v>17</v>
      </c>
      <c r="B22" s="3">
        <f>Operations!F22</f>
        <v>5.0090971640926512</v>
      </c>
      <c r="C22" s="3">
        <f>Operations!K22</f>
        <v>2.3544568081766548</v>
      </c>
      <c r="D22" s="3">
        <f>Operations!L22</f>
        <v>2.6546403559159963</v>
      </c>
      <c r="E22" s="3">
        <f t="shared" si="0"/>
        <v>0.1252274291023163</v>
      </c>
      <c r="F22" s="3">
        <f>CAPEX!G22</f>
        <v>0.65</v>
      </c>
      <c r="G22" s="3">
        <f t="shared" si="1"/>
        <v>0.68294149023969375</v>
      </c>
      <c r="H22" s="3">
        <v>0</v>
      </c>
      <c r="I22" s="3">
        <f t="shared" si="2"/>
        <v>1.1964714365739866</v>
      </c>
      <c r="J22" s="3">
        <f t="shared" si="3"/>
        <v>0.24985868551679907</v>
      </c>
      <c r="K22" s="3">
        <f t="shared" si="4"/>
        <v>0.2989487804007725</v>
      </c>
      <c r="L22" s="3">
        <f t="shared" si="5"/>
        <v>-4.2838384931902223</v>
      </c>
      <c r="M22" s="3"/>
    </row>
    <row r="23" spans="1:13" x14ac:dyDescent="0.25">
      <c r="A23" s="2">
        <v>18</v>
      </c>
      <c r="B23" s="3">
        <f>Operations!F23</f>
        <v>5.3745682511267621</v>
      </c>
      <c r="C23" s="3">
        <f>Operations!K23</f>
        <v>2.5245979256635911</v>
      </c>
      <c r="D23" s="3">
        <f>Operations!L23</f>
        <v>2.849970325463171</v>
      </c>
      <c r="E23" s="3">
        <f t="shared" si="0"/>
        <v>0.13436420627816906</v>
      </c>
      <c r="F23" s="3">
        <f>CAPEX!G23</f>
        <v>0.65</v>
      </c>
      <c r="G23" s="3">
        <f t="shared" si="1"/>
        <v>0.7332136521799506</v>
      </c>
      <c r="H23" s="3">
        <v>0</v>
      </c>
      <c r="I23" s="3">
        <f t="shared" si="2"/>
        <v>1.3323924670050515</v>
      </c>
      <c r="J23" s="3">
        <f t="shared" si="3"/>
        <v>0.23028450278045995</v>
      </c>
      <c r="K23" s="3">
        <f t="shared" si="4"/>
        <v>0.3068293367726887</v>
      </c>
      <c r="L23" s="3">
        <f t="shared" si="5"/>
        <v>-2.9514460261851707</v>
      </c>
      <c r="M23" s="3"/>
    </row>
    <row r="24" spans="1:13" x14ac:dyDescent="0.25">
      <c r="A24" s="2">
        <v>19</v>
      </c>
      <c r="B24" s="3">
        <f>Operations!F24</f>
        <v>5.7672498011769973</v>
      </c>
      <c r="C24" s="3">
        <f>Operations!K24</f>
        <v>2.7073073663701535</v>
      </c>
      <c r="D24" s="3">
        <f>Operations!L24</f>
        <v>3.0599424348068438</v>
      </c>
      <c r="E24" s="3">
        <f t="shared" si="0"/>
        <v>0.14418124502942495</v>
      </c>
      <c r="F24" s="3">
        <f>CAPEX!G24</f>
        <v>0.65</v>
      </c>
      <c r="G24" s="3">
        <f t="shared" si="1"/>
        <v>0.78725552123990317</v>
      </c>
      <c r="H24" s="3">
        <v>0</v>
      </c>
      <c r="I24" s="3">
        <f t="shared" si="2"/>
        <v>1.4785056685375157</v>
      </c>
      <c r="J24" s="3">
        <f t="shared" si="3"/>
        <v>0.21224378136447922</v>
      </c>
      <c r="K24" s="3">
        <f t="shared" si="4"/>
        <v>0.31380363385921967</v>
      </c>
      <c r="L24" s="3">
        <f t="shared" si="5"/>
        <v>-1.472940357647655</v>
      </c>
      <c r="M24" s="3"/>
    </row>
    <row r="25" spans="1:13" x14ac:dyDescent="0.25">
      <c r="A25" s="2">
        <v>20</v>
      </c>
      <c r="B25" s="3">
        <f>Operations!F25</f>
        <v>6.1892014267088067</v>
      </c>
      <c r="C25" s="3">
        <f>Operations!K25</f>
        <v>2.9035305161556892</v>
      </c>
      <c r="D25" s="3">
        <f>Operations!L25</f>
        <v>3.2856709105531174</v>
      </c>
      <c r="E25" s="3">
        <f t="shared" si="0"/>
        <v>0.15473003566772017</v>
      </c>
      <c r="F25" s="3">
        <f>CAPEX!G25</f>
        <v>0.65</v>
      </c>
      <c r="G25" s="3">
        <f t="shared" si="1"/>
        <v>0.84535403621905736</v>
      </c>
      <c r="H25" s="3">
        <f>IF(Scenarios!$B$10="Downside",D25*11*0.85,IF(Scenarios!$B$10="Upside",D25*16*0.85,D25*16*0.85))</f>
        <v>44.685124383522393</v>
      </c>
      <c r="I25" s="3">
        <f t="shared" si="2"/>
        <v>46.320711222188734</v>
      </c>
      <c r="J25" s="3">
        <f t="shared" si="3"/>
        <v>0.19561638835435877</v>
      </c>
      <c r="K25" s="3">
        <f t="shared" si="4"/>
        <v>9.0610902352897753</v>
      </c>
      <c r="L25" s="3">
        <f t="shared" si="5"/>
        <v>44.847770864541076</v>
      </c>
      <c r="M25" s="3" t="s">
        <v>211</v>
      </c>
    </row>
    <row r="26" spans="1:13" x14ac:dyDescent="0.25">
      <c r="A26" s="4" t="s">
        <v>43</v>
      </c>
      <c r="B26" s="12">
        <f t="shared" ref="B26:I26" si="6">SUM(B5:B25)</f>
        <v>68.793883295026689</v>
      </c>
      <c r="C26" s="12">
        <f t="shared" si="6"/>
        <v>32.433424594817197</v>
      </c>
      <c r="D26" s="12">
        <f t="shared" si="6"/>
        <v>36.360458700209485</v>
      </c>
      <c r="E26" s="12">
        <f t="shared" si="6"/>
        <v>1.7198470823756671</v>
      </c>
      <c r="F26" s="12">
        <f t="shared" si="6"/>
        <v>25.124999999999982</v>
      </c>
      <c r="G26" s="12">
        <f t="shared" si="6"/>
        <v>9.3529651368151292</v>
      </c>
      <c r="H26" s="12">
        <f t="shared" si="6"/>
        <v>44.685124383522393</v>
      </c>
      <c r="I26" s="12">
        <f t="shared" si="6"/>
        <v>44.847770864541076</v>
      </c>
      <c r="J26" t="s">
        <v>212</v>
      </c>
      <c r="K26" s="12">
        <f>SUM(K5:K25)</f>
        <v>3.4853813502679705</v>
      </c>
      <c r="L26" s="12">
        <f>L25</f>
        <v>44.847770864541076</v>
      </c>
    </row>
    <row r="28" spans="1:13" x14ac:dyDescent="0.25">
      <c r="A28" s="30" t="s">
        <v>290</v>
      </c>
    </row>
  </sheetData>
  <sheetProtection sheet="1" objects="1" scenarios="1" password="9DEB" selectLockedCells="1" selectUnlockedCells="1"/>
  <mergeCells count="2">
    <mergeCell ref="A2:M2"/>
    <mergeCell ref="A1:M1"/>
  </mergeCells>
  <pageMargins left="0.75" right="0.75" top="1" bottom="1" header="0.5" footer="0.5"/>
  <pageSetup fitToHeight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8"/>
  <sheetViews>
    <sheetView showGridLines="0" workbookViewId="0">
      <pane ySplit="4" topLeftCell="A5" activePane="bottomLeft" state="frozen"/>
      <selection pane="bottomLeft" activeCell="A28" sqref="A28"/>
    </sheetView>
  </sheetViews>
  <sheetFormatPr defaultRowHeight="15" x14ac:dyDescent="0.25"/>
  <cols>
    <col min="1" max="1" width="13.42578125" customWidth="1"/>
    <col min="2" max="5" width="14" customWidth="1"/>
    <col min="6" max="6" width="12" customWidth="1"/>
    <col min="7" max="9" width="14" customWidth="1"/>
    <col min="10" max="10" width="16" customWidth="1"/>
    <col min="11" max="11" width="12" customWidth="1"/>
    <col min="12" max="12" width="17" customWidth="1"/>
    <col min="13" max="13" width="18" customWidth="1"/>
  </cols>
  <sheetData>
    <row r="1" spans="1:13" ht="21" x14ac:dyDescent="0.35">
      <c r="A1" s="33" t="s">
        <v>213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31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4" spans="1:13" x14ac:dyDescent="0.25">
      <c r="A4" s="21" t="s">
        <v>31</v>
      </c>
      <c r="B4" s="21" t="s">
        <v>170</v>
      </c>
      <c r="C4" s="21" t="s">
        <v>215</v>
      </c>
      <c r="D4" s="21" t="s">
        <v>216</v>
      </c>
      <c r="E4" s="21" t="s">
        <v>217</v>
      </c>
      <c r="F4" s="21" t="s">
        <v>218</v>
      </c>
      <c r="G4" s="21" t="s">
        <v>219</v>
      </c>
      <c r="H4" s="21" t="s">
        <v>220</v>
      </c>
      <c r="I4" s="21" t="s">
        <v>221</v>
      </c>
      <c r="J4" s="21" t="s">
        <v>222</v>
      </c>
      <c r="K4" s="21" t="s">
        <v>223</v>
      </c>
      <c r="L4" s="21" t="s">
        <v>224</v>
      </c>
      <c r="M4" s="21" t="s">
        <v>225</v>
      </c>
    </row>
    <row r="5" spans="1:13" x14ac:dyDescent="0.25">
      <c r="A5" s="2">
        <v>0</v>
      </c>
      <c r="B5" s="3">
        <f>CAPEX!G5</f>
        <v>0.125</v>
      </c>
      <c r="C5" s="3">
        <f t="shared" ref="C5:C25" si="0">IF(A5=0,0,B5*0.65)</f>
        <v>0</v>
      </c>
      <c r="D5" s="3">
        <f t="shared" ref="D5:D25" si="1">B5-C5</f>
        <v>0.125</v>
      </c>
      <c r="E5" s="3">
        <v>0</v>
      </c>
      <c r="F5" s="3">
        <f t="shared" ref="F5:F25" si="2">E5*0.055</f>
        <v>0</v>
      </c>
      <c r="G5" s="3">
        <f>IF(A5&lt;=7,0,MIN(E5,SUM($C$5:C5)/25))</f>
        <v>0</v>
      </c>
      <c r="H5" s="3">
        <f t="shared" ref="H5:H25" si="3">E5+C5-G5</f>
        <v>0</v>
      </c>
      <c r="I5" s="3">
        <f t="shared" ref="I5:I25" si="4">F5+G5</f>
        <v>0</v>
      </c>
      <c r="J5" s="3">
        <f>MAX(0,'Project Cash Flow'!D5-'Project Cash Flow'!E5-'Project Cash Flow'!G5)</f>
        <v>0</v>
      </c>
      <c r="K5" s="3" t="str">
        <f t="shared" ref="K5:K25" si="5">IF(I5&gt;0,J5/I5,"")</f>
        <v/>
      </c>
      <c r="L5" s="3">
        <f>-D5+MAX(0,'Project Cash Flow'!I5)</f>
        <v>-0.125</v>
      </c>
      <c r="M5" s="3">
        <f>L5</f>
        <v>-0.125</v>
      </c>
    </row>
    <row r="6" spans="1:13" x14ac:dyDescent="0.25">
      <c r="A6" s="2">
        <v>1</v>
      </c>
      <c r="B6" s="3">
        <f>CAPEX!G6</f>
        <v>2.4785714285714286</v>
      </c>
      <c r="C6" s="3">
        <f t="shared" si="0"/>
        <v>1.6110714285714287</v>
      </c>
      <c r="D6" s="3">
        <f t="shared" si="1"/>
        <v>0.86749999999999994</v>
      </c>
      <c r="E6" s="3">
        <f t="shared" ref="E6:E25" si="6">IF(A6=0,0,H5)</f>
        <v>0</v>
      </c>
      <c r="F6" s="3">
        <f t="shared" si="2"/>
        <v>0</v>
      </c>
      <c r="G6" s="3">
        <f>IF(A6&lt;=7,0,MIN(E6,SUM($C$5:C6)/25))</f>
        <v>0</v>
      </c>
      <c r="H6" s="3">
        <f t="shared" si="3"/>
        <v>1.6110714285714287</v>
      </c>
      <c r="I6" s="3">
        <f t="shared" si="4"/>
        <v>0</v>
      </c>
      <c r="J6" s="3">
        <f>MAX(0,'Project Cash Flow'!D6-'Project Cash Flow'!E6-'Project Cash Flow'!G6)</f>
        <v>0.60000470250000004</v>
      </c>
      <c r="K6" s="3" t="str">
        <f t="shared" si="5"/>
        <v/>
      </c>
      <c r="L6" s="3">
        <f>-D6+MAX(0,'Project Cash Flow'!I6)</f>
        <v>-0.86749999999999994</v>
      </c>
      <c r="M6" s="3">
        <f t="shared" ref="M6:M25" si="7">M5+L6</f>
        <v>-0.99249999999999994</v>
      </c>
    </row>
    <row r="7" spans="1:13" x14ac:dyDescent="0.25">
      <c r="A7" s="2">
        <v>2</v>
      </c>
      <c r="B7" s="3">
        <f>CAPEX!G7</f>
        <v>2.4785714285714286</v>
      </c>
      <c r="C7" s="3">
        <f t="shared" si="0"/>
        <v>1.6110714285714287</v>
      </c>
      <c r="D7" s="3">
        <f t="shared" si="1"/>
        <v>0.86749999999999994</v>
      </c>
      <c r="E7" s="3">
        <f t="shared" si="6"/>
        <v>1.6110714285714287</v>
      </c>
      <c r="F7" s="3">
        <f t="shared" si="2"/>
        <v>8.8608928571428575E-2</v>
      </c>
      <c r="G7" s="3">
        <f>IF(A7&lt;=7,0,MIN(E7,SUM($C$5:C7)/25))</f>
        <v>0</v>
      </c>
      <c r="H7" s="3">
        <f t="shared" si="3"/>
        <v>3.2221428571428574</v>
      </c>
      <c r="I7" s="3">
        <f t="shared" si="4"/>
        <v>8.8608928571428575E-2</v>
      </c>
      <c r="J7" s="3">
        <f>MAX(0,'Project Cash Flow'!D7-'Project Cash Flow'!E7-'Project Cash Flow'!G7)</f>
        <v>0.64349848027500012</v>
      </c>
      <c r="K7" s="3">
        <f t="shared" si="5"/>
        <v>7.2622306876927114</v>
      </c>
      <c r="L7" s="3">
        <f>-D7+MAX(0,'Project Cash Flow'!I7)</f>
        <v>-0.86749999999999994</v>
      </c>
      <c r="M7" s="3">
        <f t="shared" si="7"/>
        <v>-1.8599999999999999</v>
      </c>
    </row>
    <row r="8" spans="1:13" x14ac:dyDescent="0.25">
      <c r="A8" s="2">
        <v>3</v>
      </c>
      <c r="B8" s="3">
        <f>CAPEX!G8</f>
        <v>2.4785714285714286</v>
      </c>
      <c r="C8" s="3">
        <f t="shared" si="0"/>
        <v>1.6110714285714287</v>
      </c>
      <c r="D8" s="3">
        <f t="shared" si="1"/>
        <v>0.86749999999999994</v>
      </c>
      <c r="E8" s="3">
        <f t="shared" si="6"/>
        <v>3.2221428571428574</v>
      </c>
      <c r="F8" s="3">
        <f t="shared" si="2"/>
        <v>0.17721785714285715</v>
      </c>
      <c r="G8" s="3">
        <f>IF(A8&lt;=7,0,MIN(E8,SUM($C$5:C8)/25))</f>
        <v>0</v>
      </c>
      <c r="H8" s="3">
        <f t="shared" si="3"/>
        <v>4.8332142857142859</v>
      </c>
      <c r="I8" s="3">
        <f t="shared" si="4"/>
        <v>0.17721785714285715</v>
      </c>
      <c r="J8" s="3">
        <f>MAX(0,'Project Cash Flow'!D8-'Project Cash Flow'!E8-'Project Cash Flow'!G8)</f>
        <v>0.68774221199774999</v>
      </c>
      <c r="K8" s="3">
        <f t="shared" si="5"/>
        <v>3.8807726438276129</v>
      </c>
      <c r="L8" s="3">
        <f>-D8+MAX(0,'Project Cash Flow'!I8)</f>
        <v>-0.86749999999999994</v>
      </c>
      <c r="M8" s="3">
        <f t="shared" si="7"/>
        <v>-2.7275</v>
      </c>
    </row>
    <row r="9" spans="1:13" x14ac:dyDescent="0.25">
      <c r="A9" s="2">
        <v>4</v>
      </c>
      <c r="B9" s="3">
        <f>CAPEX!G9</f>
        <v>2.4785714285714286</v>
      </c>
      <c r="C9" s="3">
        <f t="shared" si="0"/>
        <v>1.6110714285714287</v>
      </c>
      <c r="D9" s="3">
        <f t="shared" si="1"/>
        <v>0.86749999999999994</v>
      </c>
      <c r="E9" s="3">
        <f t="shared" si="6"/>
        <v>4.8332142857142859</v>
      </c>
      <c r="F9" s="3">
        <f t="shared" si="2"/>
        <v>0.26582678571428575</v>
      </c>
      <c r="G9" s="3">
        <f>IF(A9&lt;=7,0,MIN(E9,SUM($C$5:C9)/25))</f>
        <v>0</v>
      </c>
      <c r="H9" s="3">
        <f t="shared" si="3"/>
        <v>6.4442857142857148</v>
      </c>
      <c r="I9" s="3">
        <f t="shared" si="4"/>
        <v>0.26582678571428575</v>
      </c>
      <c r="J9" s="3">
        <f>MAX(0,'Project Cash Flow'!D9-'Project Cash Flow'!E9-'Project Cash Flow'!G9)</f>
        <v>0.73277989126917742</v>
      </c>
      <c r="K9" s="3">
        <f t="shared" si="5"/>
        <v>2.7566066726502845</v>
      </c>
      <c r="L9" s="3">
        <f>-D9+MAX(0,'Project Cash Flow'!I9)</f>
        <v>-0.86749999999999994</v>
      </c>
      <c r="M9" s="3">
        <f t="shared" si="7"/>
        <v>-3.5949999999999998</v>
      </c>
    </row>
    <row r="10" spans="1:13" x14ac:dyDescent="0.25">
      <c r="A10" s="2">
        <v>5</v>
      </c>
      <c r="B10" s="3">
        <f>CAPEX!G10</f>
        <v>2.4785714285714286</v>
      </c>
      <c r="C10" s="3">
        <f t="shared" si="0"/>
        <v>1.6110714285714287</v>
      </c>
      <c r="D10" s="3">
        <f t="shared" si="1"/>
        <v>0.86749999999999994</v>
      </c>
      <c r="E10" s="3">
        <f t="shared" si="6"/>
        <v>6.4442857142857148</v>
      </c>
      <c r="F10" s="3">
        <f t="shared" si="2"/>
        <v>0.3544357142857143</v>
      </c>
      <c r="G10" s="3">
        <f>IF(A10&lt;=7,0,MIN(E10,SUM($C$5:C10)/25))</f>
        <v>0</v>
      </c>
      <c r="H10" s="3">
        <f t="shared" si="3"/>
        <v>8.0553571428571438</v>
      </c>
      <c r="I10" s="3">
        <f t="shared" si="4"/>
        <v>0.3544357142857143</v>
      </c>
      <c r="J10" s="3">
        <f>MAX(0,'Project Cash Flow'!D10-'Project Cash Flow'!E10-'Project Cash Flow'!G10)</f>
        <v>0.77865810112446887</v>
      </c>
      <c r="K10" s="3">
        <f t="shared" si="5"/>
        <v>2.1968951483731813</v>
      </c>
      <c r="L10" s="3">
        <f>-D10+MAX(0,'Project Cash Flow'!I10)</f>
        <v>-0.86749999999999994</v>
      </c>
      <c r="M10" s="3">
        <f t="shared" si="7"/>
        <v>-4.4624999999999995</v>
      </c>
    </row>
    <row r="11" spans="1:13" x14ac:dyDescent="0.25">
      <c r="A11" s="2">
        <v>6</v>
      </c>
      <c r="B11" s="3">
        <f>CAPEX!G11</f>
        <v>2.0785714285714287</v>
      </c>
      <c r="C11" s="3">
        <f t="shared" si="0"/>
        <v>1.3510714285714287</v>
      </c>
      <c r="D11" s="3">
        <f t="shared" si="1"/>
        <v>0.72750000000000004</v>
      </c>
      <c r="E11" s="3">
        <f t="shared" si="6"/>
        <v>8.0553571428571438</v>
      </c>
      <c r="F11" s="3">
        <f t="shared" si="2"/>
        <v>0.4430446428571429</v>
      </c>
      <c r="G11" s="3">
        <f>IF(A11&lt;=7,0,MIN(E11,SUM($C$5:C11)/25))</f>
        <v>0</v>
      </c>
      <c r="H11" s="3">
        <f t="shared" si="3"/>
        <v>9.406428571428572</v>
      </c>
      <c r="I11" s="3">
        <f t="shared" si="4"/>
        <v>0.4430446428571429</v>
      </c>
      <c r="J11" s="3">
        <f>MAX(0,'Project Cash Flow'!D11-'Project Cash Flow'!E11-'Project Cash Flow'!G11)</f>
        <v>0.8254261668900349</v>
      </c>
      <c r="K11" s="3">
        <f t="shared" si="5"/>
        <v>1.8630767354886821</v>
      </c>
      <c r="L11" s="3">
        <f>-D11+MAX(0,'Project Cash Flow'!I11)</f>
        <v>-0.72750000000000004</v>
      </c>
      <c r="M11" s="3">
        <f t="shared" si="7"/>
        <v>-5.1899999999999995</v>
      </c>
    </row>
    <row r="12" spans="1:13" x14ac:dyDescent="0.25">
      <c r="A12" s="2">
        <v>7</v>
      </c>
      <c r="B12" s="3">
        <f>CAPEX!G12</f>
        <v>2.0785714285714287</v>
      </c>
      <c r="C12" s="3">
        <f t="shared" si="0"/>
        <v>1.3510714285714287</v>
      </c>
      <c r="D12" s="3">
        <f t="shared" si="1"/>
        <v>0.72750000000000004</v>
      </c>
      <c r="E12" s="3">
        <f t="shared" si="6"/>
        <v>9.406428571428572</v>
      </c>
      <c r="F12" s="3">
        <f t="shared" si="2"/>
        <v>0.51735357142857141</v>
      </c>
      <c r="G12" s="3">
        <f>IF(A12&lt;=7,0,MIN(E12,SUM($C$5:C12)/25))</f>
        <v>0</v>
      </c>
      <c r="H12" s="3">
        <f t="shared" si="3"/>
        <v>10.7575</v>
      </c>
      <c r="I12" s="3">
        <f t="shared" si="4"/>
        <v>0.51735357142857141</v>
      </c>
      <c r="J12" s="3">
        <f>MAX(0,'Project Cash Flow'!D12-'Project Cash Flow'!E12-'Project Cash Flow'!G12)</f>
        <v>0.91212038282496533</v>
      </c>
      <c r="K12" s="3">
        <f t="shared" si="5"/>
        <v>1.7630503261170538</v>
      </c>
      <c r="L12" s="3">
        <f>-D12+MAX(0,'Project Cash Flow'!I12)</f>
        <v>-0.72750000000000004</v>
      </c>
      <c r="M12" s="3">
        <f t="shared" si="7"/>
        <v>-5.9174999999999995</v>
      </c>
    </row>
    <row r="13" spans="1:13" x14ac:dyDescent="0.25">
      <c r="A13" s="2">
        <v>8</v>
      </c>
      <c r="B13" s="3">
        <f>CAPEX!G13</f>
        <v>0.65</v>
      </c>
      <c r="C13" s="3">
        <f t="shared" si="0"/>
        <v>0.42250000000000004</v>
      </c>
      <c r="D13" s="3">
        <f t="shared" si="1"/>
        <v>0.22749999999999998</v>
      </c>
      <c r="E13" s="3">
        <f t="shared" si="6"/>
        <v>10.7575</v>
      </c>
      <c r="F13" s="3">
        <f t="shared" si="2"/>
        <v>0.59166249999999998</v>
      </c>
      <c r="G13" s="3">
        <f>IF(A13&lt;=7,0,MIN(E13,SUM($C$5:C13)/25))</f>
        <v>0.44719999999999999</v>
      </c>
      <c r="H13" s="3">
        <f t="shared" si="3"/>
        <v>10.732799999999999</v>
      </c>
      <c r="I13" s="3">
        <f t="shared" si="4"/>
        <v>1.0388625</v>
      </c>
      <c r="J13" s="3">
        <f>MAX(0,'Project Cash Flow'!D13-'Project Cash Flow'!E13-'Project Cash Flow'!G13)</f>
        <v>0.97835684983138638</v>
      </c>
      <c r="K13" s="3">
        <f t="shared" si="5"/>
        <v>0.94175778780289632</v>
      </c>
      <c r="L13" s="3">
        <f>-D13+MAX(0,'Project Cash Flow'!I13)</f>
        <v>0.10085684983138637</v>
      </c>
      <c r="M13" s="3">
        <f t="shared" si="7"/>
        <v>-5.8166431501686136</v>
      </c>
    </row>
    <row r="14" spans="1:13" x14ac:dyDescent="0.25">
      <c r="A14" s="2">
        <v>9</v>
      </c>
      <c r="B14" s="3">
        <f>CAPEX!G14</f>
        <v>0.65</v>
      </c>
      <c r="C14" s="3">
        <f t="shared" si="0"/>
        <v>0.42250000000000004</v>
      </c>
      <c r="D14" s="3">
        <f t="shared" si="1"/>
        <v>0.22749999999999998</v>
      </c>
      <c r="E14" s="3">
        <f t="shared" si="6"/>
        <v>10.732799999999999</v>
      </c>
      <c r="F14" s="3">
        <f t="shared" si="2"/>
        <v>0.59030399999999994</v>
      </c>
      <c r="G14" s="3">
        <f>IF(A14&lt;=7,0,MIN(E14,SUM($C$5:C14)/25))</f>
        <v>0.46409999999999996</v>
      </c>
      <c r="H14" s="3">
        <f t="shared" si="3"/>
        <v>10.691199999999998</v>
      </c>
      <c r="I14" s="3">
        <f t="shared" si="4"/>
        <v>1.0544039999999999</v>
      </c>
      <c r="J14" s="3">
        <f>MAX(0,'Project Cash Flow'!D14-'Project Cash Flow'!E14-'Project Cash Flow'!G14)</f>
        <v>1.0495043839988825</v>
      </c>
      <c r="K14" s="3">
        <f t="shared" si="5"/>
        <v>0.99535318909913328</v>
      </c>
      <c r="L14" s="3">
        <f>-D14+MAX(0,'Project Cash Flow'!I14)</f>
        <v>0.1720043839988824</v>
      </c>
      <c r="M14" s="3">
        <f t="shared" si="7"/>
        <v>-5.6446387661697308</v>
      </c>
    </row>
    <row r="15" spans="1:13" x14ac:dyDescent="0.25">
      <c r="A15" s="2">
        <v>10</v>
      </c>
      <c r="B15" s="3">
        <f>CAPEX!G15</f>
        <v>0.65</v>
      </c>
      <c r="C15" s="3">
        <f t="shared" si="0"/>
        <v>0.42250000000000004</v>
      </c>
      <c r="D15" s="3">
        <f t="shared" si="1"/>
        <v>0.22749999999999998</v>
      </c>
      <c r="E15" s="3">
        <f t="shared" si="6"/>
        <v>10.691199999999998</v>
      </c>
      <c r="F15" s="3">
        <f t="shared" si="2"/>
        <v>0.58801599999999987</v>
      </c>
      <c r="G15" s="3">
        <f>IF(A15&lt;=7,0,MIN(E15,SUM($C$5:C15)/25))</f>
        <v>0.48099999999999993</v>
      </c>
      <c r="H15" s="3">
        <f t="shared" si="3"/>
        <v>10.632699999999998</v>
      </c>
      <c r="I15" s="3">
        <f t="shared" si="4"/>
        <v>1.0690159999999997</v>
      </c>
      <c r="J15" s="3">
        <f>MAX(0,'Project Cash Flow'!D15-'Project Cash Flow'!E15-'Project Cash Flow'!G15)</f>
        <v>1.1259334066692586</v>
      </c>
      <c r="K15" s="3">
        <f t="shared" si="5"/>
        <v>1.0532428014821658</v>
      </c>
      <c r="L15" s="3">
        <f>-D15+MAX(0,'Project Cash Flow'!I15)</f>
        <v>0.24843340666925862</v>
      </c>
      <c r="M15" s="3">
        <f t="shared" si="7"/>
        <v>-5.3962053595004722</v>
      </c>
    </row>
    <row r="16" spans="1:13" x14ac:dyDescent="0.25">
      <c r="A16" s="2">
        <v>11</v>
      </c>
      <c r="B16" s="3">
        <f>CAPEX!G16</f>
        <v>0.65</v>
      </c>
      <c r="C16" s="3">
        <f t="shared" si="0"/>
        <v>0.42250000000000004</v>
      </c>
      <c r="D16" s="3">
        <f t="shared" si="1"/>
        <v>0.22749999999999998</v>
      </c>
      <c r="E16" s="3">
        <f t="shared" si="6"/>
        <v>10.632699999999998</v>
      </c>
      <c r="F16" s="3">
        <f t="shared" si="2"/>
        <v>0.58479849999999989</v>
      </c>
      <c r="G16" s="3">
        <f>IF(A16&lt;=7,0,MIN(E16,SUM($C$5:C16)/25))</f>
        <v>0.4978999999999999</v>
      </c>
      <c r="H16" s="3">
        <f t="shared" si="3"/>
        <v>10.557299999999998</v>
      </c>
      <c r="I16" s="3">
        <f t="shared" si="4"/>
        <v>1.0826984999999998</v>
      </c>
      <c r="J16" s="3">
        <f>MAX(0,'Project Cash Flow'!D16-'Project Cash Flow'!E16-'Project Cash Flow'!G16)</f>
        <v>1.208042665398847</v>
      </c>
      <c r="K16" s="3">
        <f t="shared" si="5"/>
        <v>1.1157701478286404</v>
      </c>
      <c r="L16" s="3">
        <f>-D16+MAX(0,'Project Cash Flow'!I16)</f>
        <v>0.33054266539884708</v>
      </c>
      <c r="M16" s="3">
        <f t="shared" si="7"/>
        <v>-5.0656626941016247</v>
      </c>
    </row>
    <row r="17" spans="1:13" x14ac:dyDescent="0.25">
      <c r="A17" s="2">
        <v>12</v>
      </c>
      <c r="B17" s="3">
        <f>CAPEX!G17</f>
        <v>0.65</v>
      </c>
      <c r="C17" s="3">
        <f t="shared" si="0"/>
        <v>0.42250000000000004</v>
      </c>
      <c r="D17" s="3">
        <f t="shared" si="1"/>
        <v>0.22749999999999998</v>
      </c>
      <c r="E17" s="3">
        <f t="shared" si="6"/>
        <v>10.557299999999998</v>
      </c>
      <c r="F17" s="3">
        <f t="shared" si="2"/>
        <v>0.58065149999999988</v>
      </c>
      <c r="G17" s="3">
        <f>IF(A17&lt;=7,0,MIN(E17,SUM($C$5:C17)/25))</f>
        <v>0.51479999999999992</v>
      </c>
      <c r="H17" s="3">
        <f t="shared" si="3"/>
        <v>10.464999999999998</v>
      </c>
      <c r="I17" s="3">
        <f t="shared" si="4"/>
        <v>1.0954514999999998</v>
      </c>
      <c r="J17" s="3">
        <f>MAX(0,'Project Cash Flow'!D17-'Project Cash Flow'!E17-'Project Cash Flow'!G17)</f>
        <v>1.2962614236235459</v>
      </c>
      <c r="K17" s="3">
        <f t="shared" si="5"/>
        <v>1.1833124730976645</v>
      </c>
      <c r="L17" s="3">
        <f>-D17+MAX(0,'Project Cash Flow'!I17)</f>
        <v>0.4187614236235459</v>
      </c>
      <c r="M17" s="3">
        <f t="shared" si="7"/>
        <v>-4.6469012704780788</v>
      </c>
    </row>
    <row r="18" spans="1:13" x14ac:dyDescent="0.25">
      <c r="A18" s="2">
        <v>13</v>
      </c>
      <c r="B18" s="3">
        <f>CAPEX!G18</f>
        <v>0.65</v>
      </c>
      <c r="C18" s="3">
        <f t="shared" si="0"/>
        <v>0.42250000000000004</v>
      </c>
      <c r="D18" s="3">
        <f t="shared" si="1"/>
        <v>0.22749999999999998</v>
      </c>
      <c r="E18" s="3">
        <f t="shared" si="6"/>
        <v>10.464999999999998</v>
      </c>
      <c r="F18" s="3">
        <f t="shared" si="2"/>
        <v>0.57557499999999995</v>
      </c>
      <c r="G18" s="3">
        <f>IF(A18&lt;=7,0,MIN(E18,SUM($C$5:C18)/25))</f>
        <v>0.53169999999999984</v>
      </c>
      <c r="H18" s="3">
        <f t="shared" si="3"/>
        <v>10.355799999999999</v>
      </c>
      <c r="I18" s="3">
        <f t="shared" si="4"/>
        <v>1.1072749999999998</v>
      </c>
      <c r="J18" s="3">
        <f>MAX(0,'Project Cash Flow'!D18-'Project Cash Flow'!E18-'Project Cash Flow'!G18)</f>
        <v>1.391051821012018</v>
      </c>
      <c r="K18" s="3">
        <f t="shared" si="5"/>
        <v>1.2562839592802315</v>
      </c>
      <c r="L18" s="3">
        <f>-D18+MAX(0,'Project Cash Flow'!I18)</f>
        <v>0.51355182101201802</v>
      </c>
      <c r="M18" s="3">
        <f t="shared" si="7"/>
        <v>-4.1333494494660608</v>
      </c>
    </row>
    <row r="19" spans="1:13" x14ac:dyDescent="0.25">
      <c r="A19" s="2">
        <v>14</v>
      </c>
      <c r="B19" s="3">
        <f>CAPEX!G19</f>
        <v>0.65</v>
      </c>
      <c r="C19" s="3">
        <f t="shared" si="0"/>
        <v>0.42250000000000004</v>
      </c>
      <c r="D19" s="3">
        <f t="shared" si="1"/>
        <v>0.22749999999999998</v>
      </c>
      <c r="E19" s="3">
        <f t="shared" si="6"/>
        <v>10.355799999999999</v>
      </c>
      <c r="F19" s="3">
        <f t="shared" si="2"/>
        <v>0.56956899999999988</v>
      </c>
      <c r="G19" s="3">
        <f>IF(A19&lt;=7,0,MIN(E19,SUM($C$5:C19)/25))</f>
        <v>0.54859999999999987</v>
      </c>
      <c r="H19" s="3">
        <f t="shared" si="3"/>
        <v>10.229699999999998</v>
      </c>
      <c r="I19" s="3">
        <f t="shared" si="4"/>
        <v>1.1181689999999997</v>
      </c>
      <c r="J19" s="3">
        <f>MAX(0,'Project Cash Flow'!D19-'Project Cash Flow'!E19-'Project Cash Flow'!G19)</f>
        <v>1.4929114178980254</v>
      </c>
      <c r="K19" s="3">
        <f t="shared" si="5"/>
        <v>1.3351393375223475</v>
      </c>
      <c r="L19" s="3">
        <f>-D19+MAX(0,'Project Cash Flow'!I19)</f>
        <v>0.61541141789802545</v>
      </c>
      <c r="M19" s="3">
        <f t="shared" si="7"/>
        <v>-3.5179380315680353</v>
      </c>
    </row>
    <row r="20" spans="1:13" x14ac:dyDescent="0.25">
      <c r="A20" s="2">
        <v>15</v>
      </c>
      <c r="B20" s="3">
        <f>CAPEX!G20</f>
        <v>0.65</v>
      </c>
      <c r="C20" s="3">
        <f t="shared" si="0"/>
        <v>0.42250000000000004</v>
      </c>
      <c r="D20" s="3">
        <f t="shared" si="1"/>
        <v>0.22749999999999998</v>
      </c>
      <c r="E20" s="3">
        <f t="shared" si="6"/>
        <v>10.229699999999998</v>
      </c>
      <c r="F20" s="3">
        <f t="shared" si="2"/>
        <v>0.5626334999999999</v>
      </c>
      <c r="G20" s="3">
        <f>IF(A20&lt;=7,0,MIN(E20,SUM($C$5:C20)/25))</f>
        <v>0.56549999999999978</v>
      </c>
      <c r="H20" s="3">
        <f t="shared" si="3"/>
        <v>10.086699999999997</v>
      </c>
      <c r="I20" s="3">
        <f t="shared" si="4"/>
        <v>1.1281334999999997</v>
      </c>
      <c r="J20" s="3">
        <f>MAX(0,'Project Cash Flow'!D20-'Project Cash Flow'!E20-'Project Cash Flow'!G20)</f>
        <v>1.6023759382385836</v>
      </c>
      <c r="K20" s="3">
        <f t="shared" si="5"/>
        <v>1.4203779412973589</v>
      </c>
      <c r="L20" s="3">
        <f>-D20+MAX(0,'Project Cash Flow'!I20)</f>
        <v>0.72487593823858365</v>
      </c>
      <c r="M20" s="3">
        <f t="shared" si="7"/>
        <v>-2.7930620933294517</v>
      </c>
    </row>
    <row r="21" spans="1:13" x14ac:dyDescent="0.25">
      <c r="A21" s="2">
        <v>16</v>
      </c>
      <c r="B21" s="3">
        <f>CAPEX!G21</f>
        <v>0.65</v>
      </c>
      <c r="C21" s="3">
        <f t="shared" si="0"/>
        <v>0.42250000000000004</v>
      </c>
      <c r="D21" s="3">
        <f t="shared" si="1"/>
        <v>0.22749999999999998</v>
      </c>
      <c r="E21" s="3">
        <f t="shared" si="6"/>
        <v>10.086699999999997</v>
      </c>
      <c r="F21" s="3">
        <f t="shared" si="2"/>
        <v>0.55476849999999989</v>
      </c>
      <c r="G21" s="3">
        <f>IF(A21&lt;=7,0,MIN(E21,SUM($C$5:C21)/25))</f>
        <v>0.58239999999999981</v>
      </c>
      <c r="H21" s="3">
        <f t="shared" si="3"/>
        <v>9.9267999999999965</v>
      </c>
      <c r="I21" s="3">
        <f t="shared" si="4"/>
        <v>1.1371684999999996</v>
      </c>
      <c r="J21" s="3">
        <f>MAX(0,'Project Cash Flow'!D21-'Project Cash Flow'!E21-'Project Cash Flow'!G21)</f>
        <v>1.7200222266838476</v>
      </c>
      <c r="K21" s="3">
        <f t="shared" si="5"/>
        <v>1.5125482518059974</v>
      </c>
      <c r="L21" s="3">
        <f>-D21+MAX(0,'Project Cash Flow'!I21)</f>
        <v>0.84252222668384769</v>
      </c>
      <c r="M21" s="3">
        <f t="shared" si="7"/>
        <v>-1.950539866645604</v>
      </c>
    </row>
    <row r="22" spans="1:13" x14ac:dyDescent="0.25">
      <c r="A22" s="2">
        <v>17</v>
      </c>
      <c r="B22" s="3">
        <f>CAPEX!G22</f>
        <v>0.65</v>
      </c>
      <c r="C22" s="3">
        <f t="shared" si="0"/>
        <v>0.42250000000000004</v>
      </c>
      <c r="D22" s="3">
        <f t="shared" si="1"/>
        <v>0.22749999999999998</v>
      </c>
      <c r="E22" s="3">
        <f t="shared" si="6"/>
        <v>9.9267999999999965</v>
      </c>
      <c r="F22" s="3">
        <f t="shared" si="2"/>
        <v>0.54597399999999985</v>
      </c>
      <c r="G22" s="3">
        <f>IF(A22&lt;=7,0,MIN(E22,SUM($C$5:C22)/25))</f>
        <v>0.59929999999999983</v>
      </c>
      <c r="H22" s="3">
        <f t="shared" si="3"/>
        <v>9.7499999999999964</v>
      </c>
      <c r="I22" s="3">
        <f t="shared" si="4"/>
        <v>1.1452739999999997</v>
      </c>
      <c r="J22" s="3">
        <f>MAX(0,'Project Cash Flow'!D22-'Project Cash Flow'!E22-'Project Cash Flow'!G22)</f>
        <v>1.8464714365739865</v>
      </c>
      <c r="K22" s="3">
        <f t="shared" si="5"/>
        <v>1.6122529949811024</v>
      </c>
      <c r="L22" s="3">
        <f>-D22+MAX(0,'Project Cash Flow'!I22)</f>
        <v>0.96897143657398654</v>
      </c>
      <c r="M22" s="3">
        <f t="shared" si="7"/>
        <v>-0.98156843007161743</v>
      </c>
    </row>
    <row r="23" spans="1:13" x14ac:dyDescent="0.25">
      <c r="A23" s="2">
        <v>18</v>
      </c>
      <c r="B23" s="3">
        <f>CAPEX!G23</f>
        <v>0.65</v>
      </c>
      <c r="C23" s="3">
        <f t="shared" si="0"/>
        <v>0.42250000000000004</v>
      </c>
      <c r="D23" s="3">
        <f t="shared" si="1"/>
        <v>0.22749999999999998</v>
      </c>
      <c r="E23" s="3">
        <f t="shared" si="6"/>
        <v>9.7499999999999964</v>
      </c>
      <c r="F23" s="3">
        <f t="shared" si="2"/>
        <v>0.53624999999999978</v>
      </c>
      <c r="G23" s="3">
        <f>IF(A23&lt;=7,0,MIN(E23,SUM($C$5:C23)/25))</f>
        <v>0.61619999999999975</v>
      </c>
      <c r="H23" s="3">
        <f t="shared" si="3"/>
        <v>9.5562999999999967</v>
      </c>
      <c r="I23" s="3">
        <f t="shared" si="4"/>
        <v>1.1524499999999995</v>
      </c>
      <c r="J23" s="3">
        <f>MAX(0,'Project Cash Flow'!D23-'Project Cash Flow'!E23-'Project Cash Flow'!G23)</f>
        <v>1.9823924670050515</v>
      </c>
      <c r="K23" s="3">
        <f t="shared" si="5"/>
        <v>1.7201548587835067</v>
      </c>
      <c r="L23" s="3">
        <f>-D23+MAX(0,'Project Cash Flow'!I23)</f>
        <v>1.1048924670050515</v>
      </c>
      <c r="M23" s="3">
        <f t="shared" si="7"/>
        <v>0.12332403693343408</v>
      </c>
    </row>
    <row r="24" spans="1:13" x14ac:dyDescent="0.25">
      <c r="A24" s="2">
        <v>19</v>
      </c>
      <c r="B24" s="3">
        <f>CAPEX!G24</f>
        <v>0.65</v>
      </c>
      <c r="C24" s="3">
        <f t="shared" si="0"/>
        <v>0.42250000000000004</v>
      </c>
      <c r="D24" s="3">
        <f t="shared" si="1"/>
        <v>0.22749999999999998</v>
      </c>
      <c r="E24" s="3">
        <f t="shared" si="6"/>
        <v>9.5562999999999967</v>
      </c>
      <c r="F24" s="3">
        <f t="shared" si="2"/>
        <v>0.5255964999999998</v>
      </c>
      <c r="G24" s="3">
        <f>IF(A24&lt;=7,0,MIN(E24,SUM($C$5:C24)/25))</f>
        <v>0.63309999999999977</v>
      </c>
      <c r="H24" s="3">
        <f t="shared" si="3"/>
        <v>9.3456999999999972</v>
      </c>
      <c r="I24" s="3">
        <f t="shared" si="4"/>
        <v>1.1586964999999996</v>
      </c>
      <c r="J24" s="3">
        <f>MAX(0,'Project Cash Flow'!D24-'Project Cash Flow'!E24-'Project Cash Flow'!G24)</f>
        <v>2.1285056685375157</v>
      </c>
      <c r="K24" s="3">
        <f t="shared" si="5"/>
        <v>1.8369829101386916</v>
      </c>
      <c r="L24" s="3">
        <f>-D24+MAX(0,'Project Cash Flow'!I24)</f>
        <v>1.2510056685375157</v>
      </c>
      <c r="M24" s="3">
        <f t="shared" si="7"/>
        <v>1.3743297054709498</v>
      </c>
    </row>
    <row r="25" spans="1:13" x14ac:dyDescent="0.25">
      <c r="A25" s="2">
        <v>20</v>
      </c>
      <c r="B25" s="3">
        <f>CAPEX!G25</f>
        <v>0.65</v>
      </c>
      <c r="C25" s="3">
        <f t="shared" si="0"/>
        <v>0.42250000000000004</v>
      </c>
      <c r="D25" s="3">
        <f t="shared" si="1"/>
        <v>0.22749999999999998</v>
      </c>
      <c r="E25" s="3">
        <f t="shared" si="6"/>
        <v>9.3456999999999972</v>
      </c>
      <c r="F25" s="3">
        <f t="shared" si="2"/>
        <v>0.5140134999999999</v>
      </c>
      <c r="G25" s="3">
        <f>IF(A25&lt;=7,0,MIN(E25,SUM($C$5:C25)/25))</f>
        <v>0.64999999999999969</v>
      </c>
      <c r="H25" s="3">
        <f t="shared" si="3"/>
        <v>9.1181999999999963</v>
      </c>
      <c r="I25" s="3">
        <f t="shared" si="4"/>
        <v>1.1640134999999996</v>
      </c>
      <c r="J25" s="3">
        <f>MAX(0,'Project Cash Flow'!D25-'Project Cash Flow'!E25-'Project Cash Flow'!G25)</f>
        <v>2.2855868386663398</v>
      </c>
      <c r="K25" s="3">
        <f t="shared" si="5"/>
        <v>1.9635398031606512</v>
      </c>
      <c r="L25" s="3">
        <f>-D25+MAX(0,'Project Cash Flow'!I25)</f>
        <v>46.093211222188735</v>
      </c>
      <c r="M25" s="3">
        <f t="shared" si="7"/>
        <v>47.467540927659684</v>
      </c>
    </row>
    <row r="26" spans="1:13" x14ac:dyDescent="0.25">
      <c r="A26" s="4" t="s">
        <v>226</v>
      </c>
      <c r="B26" s="12">
        <f>SUM(B5:B25)</f>
        <v>25.124999999999982</v>
      </c>
      <c r="C26" s="12">
        <f>SUM(C5:C25)</f>
        <v>16.249999999999993</v>
      </c>
      <c r="D26" s="12">
        <f>SUM(D5:D25)</f>
        <v>8.8749999999999964</v>
      </c>
      <c r="F26" s="12">
        <f>SUM(F5:F25)</f>
        <v>9.1662999999999997</v>
      </c>
      <c r="G26" s="12">
        <f>SUM(G5:G25)</f>
        <v>7.1317999999999975</v>
      </c>
      <c r="H26" s="12">
        <f>H25</f>
        <v>9.1181999999999963</v>
      </c>
      <c r="I26" s="12">
        <f>SUM(I5:I25)</f>
        <v>16.298099999999994</v>
      </c>
      <c r="J26" s="12">
        <f>SUM(J5:J25)</f>
        <v>25.28764648101869</v>
      </c>
      <c r="K26" s="13">
        <f>MIN(K5:K25)</f>
        <v>0.94175778780289632</v>
      </c>
      <c r="L26" s="12">
        <f>SUM(L5:L25)</f>
        <v>47.467540927659684</v>
      </c>
      <c r="M26" s="12">
        <f>M25</f>
        <v>47.467540927659684</v>
      </c>
    </row>
    <row r="28" spans="1:13" x14ac:dyDescent="0.25">
      <c r="A28" s="30" t="s">
        <v>290</v>
      </c>
    </row>
  </sheetData>
  <sheetProtection sheet="1" objects="1" scenarios="1" password="9DEB" selectLockedCells="1" selectUnlockedCells="1"/>
  <mergeCells count="2">
    <mergeCell ref="A2:M2"/>
    <mergeCell ref="A1:M1"/>
  </mergeCells>
  <pageMargins left="0.75" right="0.75" top="1" bottom="1" header="0.5" footer="0.5"/>
  <pageSetup fitToHeight="0" orientation="landscape"/>
  <ignoredErrors>
    <ignoredError sqref="H26 K26" formula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9"/>
  <sheetViews>
    <sheetView showGridLines="0" workbookViewId="0">
      <selection activeCell="D24" sqref="D24"/>
    </sheetView>
  </sheetViews>
  <sheetFormatPr defaultRowHeight="15" x14ac:dyDescent="0.25"/>
  <cols>
    <col min="1" max="1" width="38.7109375" customWidth="1"/>
    <col min="2" max="2" width="22" customWidth="1"/>
    <col min="3" max="3" width="16" customWidth="1"/>
    <col min="4" max="5" width="24" customWidth="1"/>
    <col min="6" max="6" width="70" customWidth="1"/>
  </cols>
  <sheetData>
    <row r="1" spans="1:6" ht="21" x14ac:dyDescent="0.35">
      <c r="A1" s="33" t="s">
        <v>227</v>
      </c>
      <c r="B1" s="32"/>
      <c r="C1" s="32"/>
      <c r="D1" s="32"/>
      <c r="E1" s="32"/>
      <c r="F1" s="32"/>
    </row>
    <row r="2" spans="1:6" x14ac:dyDescent="0.25">
      <c r="A2" s="31" t="s">
        <v>228</v>
      </c>
      <c r="B2" s="32"/>
      <c r="C2" s="32"/>
      <c r="D2" s="32"/>
      <c r="E2" s="32"/>
      <c r="F2" s="32"/>
    </row>
    <row r="4" spans="1:6" x14ac:dyDescent="0.25">
      <c r="A4" s="21" t="s">
        <v>229</v>
      </c>
      <c r="B4" s="21" t="s">
        <v>47</v>
      </c>
      <c r="C4" s="21" t="s">
        <v>48</v>
      </c>
      <c r="D4" s="21" t="s">
        <v>230</v>
      </c>
      <c r="E4" s="21" t="s">
        <v>231</v>
      </c>
      <c r="F4" s="21" t="s">
        <v>50</v>
      </c>
    </row>
    <row r="5" spans="1:6" x14ac:dyDescent="0.25">
      <c r="A5" s="9" t="s">
        <v>5</v>
      </c>
      <c r="B5" s="14">
        <f>SUM(CAPEX!C26:F26)</f>
        <v>25.000000000000007</v>
      </c>
      <c r="C5" s="9" t="s">
        <v>52</v>
      </c>
      <c r="D5" s="9"/>
      <c r="E5" s="9">
        <v>25</v>
      </c>
      <c r="F5" s="9" t="s">
        <v>8</v>
      </c>
    </row>
    <row r="6" spans="1:6" x14ac:dyDescent="0.25">
      <c r="A6" s="9" t="s">
        <v>13</v>
      </c>
      <c r="B6" s="14">
        <f>SUM(CAPEX!G5:G25)</f>
        <v>25.124999999999982</v>
      </c>
      <c r="C6" s="9" t="s">
        <v>52</v>
      </c>
      <c r="D6" s="9"/>
      <c r="E6" s="9">
        <v>25.125</v>
      </c>
      <c r="F6" s="9" t="s">
        <v>232</v>
      </c>
    </row>
    <row r="7" spans="1:6" x14ac:dyDescent="0.25">
      <c r="A7" s="9" t="s">
        <v>6</v>
      </c>
      <c r="B7" s="14">
        <f>SUM('Project Cash Flow'!B5:B25)</f>
        <v>68.793883295026689</v>
      </c>
      <c r="C7" s="9" t="s">
        <v>52</v>
      </c>
      <c r="D7" s="9"/>
      <c r="E7" s="9"/>
      <c r="F7" s="9" t="s">
        <v>76</v>
      </c>
    </row>
    <row r="8" spans="1:6" x14ac:dyDescent="0.25">
      <c r="A8" s="9" t="s">
        <v>10</v>
      </c>
      <c r="B8" s="14">
        <f>SUM('Project Cash Flow'!D5:D25)</f>
        <v>36.360458700209485</v>
      </c>
      <c r="C8" s="9" t="s">
        <v>52</v>
      </c>
      <c r="D8" s="9"/>
      <c r="E8" s="9"/>
      <c r="F8" s="9" t="s">
        <v>76</v>
      </c>
    </row>
    <row r="9" spans="1:6" x14ac:dyDescent="0.25">
      <c r="A9" s="9" t="s">
        <v>14</v>
      </c>
      <c r="B9" s="14">
        <f>'Project Cash Flow'!H25</f>
        <v>44.685124383522393</v>
      </c>
      <c r="C9" s="9" t="s">
        <v>52</v>
      </c>
      <c r="D9" s="9"/>
      <c r="E9" s="9" t="s">
        <v>233</v>
      </c>
      <c r="F9" s="9" t="s">
        <v>234</v>
      </c>
    </row>
    <row r="10" spans="1:6" x14ac:dyDescent="0.25">
      <c r="A10" s="9" t="s">
        <v>235</v>
      </c>
      <c r="B10" s="14">
        <f>SUM('Project Cash Flow'!K5:K25)</f>
        <v>3.4853813502679705</v>
      </c>
      <c r="C10" s="9" t="s">
        <v>52</v>
      </c>
      <c r="D10" s="9"/>
      <c r="E10" s="14">
        <f>SUM('Project Cash Flow'!K5:K25)-'Project Cash Flow'!K25</f>
        <v>-5.5757088850218048</v>
      </c>
      <c r="F10" s="9" t="s">
        <v>76</v>
      </c>
    </row>
    <row r="11" spans="1:6" x14ac:dyDescent="0.25">
      <c r="A11" s="9" t="s">
        <v>236</v>
      </c>
      <c r="B11" s="14">
        <f>MAX(Financing!H5:H25)</f>
        <v>10.7575</v>
      </c>
      <c r="C11" s="9" t="s">
        <v>52</v>
      </c>
      <c r="D11" s="9"/>
      <c r="E11" s="9"/>
      <c r="F11" s="9" t="s">
        <v>76</v>
      </c>
    </row>
    <row r="12" spans="1:6" x14ac:dyDescent="0.25">
      <c r="A12" s="9" t="s">
        <v>26</v>
      </c>
      <c r="B12" s="14">
        <f>MIN(Financing!K5:K25)</f>
        <v>0.94175778780289632</v>
      </c>
      <c r="C12" s="9" t="s">
        <v>152</v>
      </c>
      <c r="D12" s="9"/>
      <c r="E12" s="9"/>
      <c r="F12" s="9" t="s">
        <v>76</v>
      </c>
    </row>
    <row r="14" spans="1:6" ht="30" x14ac:dyDescent="0.25">
      <c r="A14" t="s">
        <v>237</v>
      </c>
      <c r="B14" s="22">
        <f>IRR('Project Cash Flow'!I5:I25)</f>
        <v>0.10966293097010538</v>
      </c>
      <c r="C14" t="s">
        <v>79</v>
      </c>
      <c r="E14" t="s">
        <v>173</v>
      </c>
      <c r="F14" s="15" t="s">
        <v>238</v>
      </c>
    </row>
    <row r="15" spans="1:6" ht="30" x14ac:dyDescent="0.25">
      <c r="A15" t="s">
        <v>239</v>
      </c>
      <c r="B15" s="22">
        <f>IRR(B19:B39)</f>
        <v>1.1697556714396207E-3</v>
      </c>
      <c r="C15" t="s">
        <v>79</v>
      </c>
      <c r="E15" t="s">
        <v>240</v>
      </c>
      <c r="F15" s="15" t="s">
        <v>285</v>
      </c>
    </row>
    <row r="18" spans="1:4" ht="30" x14ac:dyDescent="0.25">
      <c r="A18" s="21" t="s">
        <v>31</v>
      </c>
      <c r="B18" s="21" t="s">
        <v>241</v>
      </c>
    </row>
    <row r="19" spans="1:4" x14ac:dyDescent="0.25">
      <c r="A19">
        <v>0</v>
      </c>
      <c r="B19" s="11">
        <f>'Project Cash Flow'!I5-'Project Cash Flow'!H5</f>
        <v>-0.125</v>
      </c>
    </row>
    <row r="20" spans="1:4" x14ac:dyDescent="0.25">
      <c r="A20">
        <v>1</v>
      </c>
      <c r="B20" s="11">
        <f>'Project Cash Flow'!I6-'Project Cash Flow'!H6</f>
        <v>-1.8785667260714285</v>
      </c>
    </row>
    <row r="21" spans="1:4" x14ac:dyDescent="0.25">
      <c r="A21">
        <v>2</v>
      </c>
      <c r="B21" s="11">
        <f>'Project Cash Flow'!I7-'Project Cash Flow'!H7</f>
        <v>-1.8350729482964288</v>
      </c>
    </row>
    <row r="22" spans="1:4" x14ac:dyDescent="0.25">
      <c r="A22">
        <v>3</v>
      </c>
      <c r="B22" s="11">
        <f>'Project Cash Flow'!I8-'Project Cash Flow'!H8</f>
        <v>-1.7908292165736786</v>
      </c>
    </row>
    <row r="23" spans="1:4" x14ac:dyDescent="0.25">
      <c r="A23">
        <v>4</v>
      </c>
      <c r="B23" s="11">
        <f>'Project Cash Flow'!I9-'Project Cash Flow'!H9</f>
        <v>-1.7457915373022512</v>
      </c>
    </row>
    <row r="24" spans="1:4" x14ac:dyDescent="0.25">
      <c r="A24">
        <v>5</v>
      </c>
      <c r="B24" s="11">
        <f>'Project Cash Flow'!I10-'Project Cash Flow'!H10</f>
        <v>-1.6999133274469598</v>
      </c>
      <c r="D24" s="30" t="s">
        <v>290</v>
      </c>
    </row>
    <row r="25" spans="1:4" x14ac:dyDescent="0.25">
      <c r="A25">
        <v>6</v>
      </c>
      <c r="B25" s="11">
        <f>'Project Cash Flow'!I11-'Project Cash Flow'!H11</f>
        <v>-1.2531452616813938</v>
      </c>
    </row>
    <row r="26" spans="1:4" x14ac:dyDescent="0.25">
      <c r="A26">
        <v>7</v>
      </c>
      <c r="B26" s="11">
        <f>'Project Cash Flow'!I12-'Project Cash Flow'!H12</f>
        <v>-1.1664510457464634</v>
      </c>
    </row>
    <row r="27" spans="1:4" x14ac:dyDescent="0.25">
      <c r="A27">
        <v>8</v>
      </c>
      <c r="B27" s="11">
        <f>'Project Cash Flow'!I13-'Project Cash Flow'!H13</f>
        <v>0.32835684983138635</v>
      </c>
    </row>
    <row r="28" spans="1:4" x14ac:dyDescent="0.25">
      <c r="A28">
        <v>9</v>
      </c>
      <c r="B28" s="11">
        <f>'Project Cash Flow'!I14-'Project Cash Flow'!H14</f>
        <v>0.39950438399888238</v>
      </c>
    </row>
    <row r="29" spans="1:4" x14ac:dyDescent="0.25">
      <c r="A29">
        <v>10</v>
      </c>
      <c r="B29" s="11">
        <f>'Project Cash Flow'!I15-'Project Cash Flow'!H15</f>
        <v>0.4759334066692586</v>
      </c>
    </row>
    <row r="30" spans="1:4" x14ac:dyDescent="0.25">
      <c r="A30">
        <v>11</v>
      </c>
      <c r="B30" s="11">
        <f>'Project Cash Flow'!I16-'Project Cash Flow'!H16</f>
        <v>0.55804266539884706</v>
      </c>
    </row>
    <row r="31" spans="1:4" x14ac:dyDescent="0.25">
      <c r="A31">
        <v>12</v>
      </c>
      <c r="B31" s="11">
        <f>'Project Cash Flow'!I17-'Project Cash Flow'!H17</f>
        <v>0.64626142362354588</v>
      </c>
    </row>
    <row r="32" spans="1:4" x14ac:dyDescent="0.25">
      <c r="A32">
        <v>13</v>
      </c>
      <c r="B32" s="11">
        <f>'Project Cash Flow'!I18-'Project Cash Flow'!H18</f>
        <v>0.74105182101201794</v>
      </c>
    </row>
    <row r="33" spans="1:2" x14ac:dyDescent="0.25">
      <c r="A33">
        <v>14</v>
      </c>
      <c r="B33" s="11">
        <f>'Project Cash Flow'!I19-'Project Cash Flow'!H19</f>
        <v>0.84291141789802537</v>
      </c>
    </row>
    <row r="34" spans="1:2" x14ac:dyDescent="0.25">
      <c r="A34">
        <v>15</v>
      </c>
      <c r="B34" s="11">
        <f>'Project Cash Flow'!I20-'Project Cash Flow'!H20</f>
        <v>0.95237593823858357</v>
      </c>
    </row>
    <row r="35" spans="1:2" x14ac:dyDescent="0.25">
      <c r="A35">
        <v>16</v>
      </c>
      <c r="B35" s="11">
        <f>'Project Cash Flow'!I21-'Project Cash Flow'!H21</f>
        <v>1.0700222266838477</v>
      </c>
    </row>
    <row r="36" spans="1:2" x14ac:dyDescent="0.25">
      <c r="A36">
        <v>17</v>
      </c>
      <c r="B36" s="11">
        <f>'Project Cash Flow'!I22-'Project Cash Flow'!H22</f>
        <v>1.1964714365739866</v>
      </c>
    </row>
    <row r="37" spans="1:2" x14ac:dyDescent="0.25">
      <c r="A37">
        <v>18</v>
      </c>
      <c r="B37" s="11">
        <f>'Project Cash Flow'!I23-'Project Cash Flow'!H23</f>
        <v>1.3323924670050515</v>
      </c>
    </row>
    <row r="38" spans="1:2" x14ac:dyDescent="0.25">
      <c r="A38">
        <v>19</v>
      </c>
      <c r="B38" s="11">
        <f>'Project Cash Flow'!I24-'Project Cash Flow'!H24</f>
        <v>1.4785056685375157</v>
      </c>
    </row>
    <row r="39" spans="1:2" x14ac:dyDescent="0.25">
      <c r="A39">
        <v>20</v>
      </c>
      <c r="B39" s="11">
        <f>'Project Cash Flow'!I25-'Project Cash Flow'!H25</f>
        <v>1.6355868386663417</v>
      </c>
    </row>
  </sheetData>
  <sheetProtection sheet="1" objects="1" scenarios="1" password="9DEB" selectLockedCells="1" selectUnlockedCells="1"/>
  <mergeCells count="2">
    <mergeCell ref="A2:F2"/>
    <mergeCell ref="A1:F1"/>
  </mergeCells>
  <pageMargins left="0.75" right="0.75" top="1" bottom="1" header="0.5" footer="0.5"/>
  <pageSetup fitToHeight="0" orientation="landscape"/>
  <ignoredErrors>
    <ignoredError sqref="E9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Dashboard</vt:lpstr>
      <vt:lpstr>CAPEX</vt:lpstr>
      <vt:lpstr>Inputs</vt:lpstr>
      <vt:lpstr>Scenarios</vt:lpstr>
      <vt:lpstr>CAPEX1</vt:lpstr>
      <vt:lpstr>Operations</vt:lpstr>
      <vt:lpstr>Project Cash Flow</vt:lpstr>
      <vt:lpstr>Financing</vt:lpstr>
      <vt:lpstr>Returns &amp; Metrics</vt:lpstr>
      <vt:lpstr>Sources &amp; Uses</vt:lpstr>
      <vt:lpstr>Sensitivity</vt:lpstr>
      <vt:lpstr>Model 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Manus Heunis</cp:lastModifiedBy>
  <dcterms:created xsi:type="dcterms:W3CDTF">2026-08-09T08:37:43Z</dcterms:created>
  <dcterms:modified xsi:type="dcterms:W3CDTF">2026-08-10T13:09:36Z</dcterms:modified>
</cp:coreProperties>
</file>